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6"/>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'06'!$A$1:$S$85</definedName>
    <definedName name="_xlnm.Print_Area" localSheetId="22">'07'!$A$1:$T$87</definedName>
    <definedName name="_xlnm.Print_Area" localSheetId="23">'08'!$A$1:$N$30</definedName>
    <definedName name="_xlnm.Print_Area" localSheetId="26">'11'!$A$1:$U$31</definedName>
    <definedName name="_xlnm.Print_Area" localSheetId="1">'Mãu BC mien giam 8'!$A$1:$N$36</definedName>
    <definedName name="_xlnm.Print_Area" localSheetId="15">'PT02'!$A$1:$C$40</definedName>
    <definedName name="_xlnm.Print_Area" localSheetId="19">'PT04'!$A$1:$C$40</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35.xml><?xml version="1.0" encoding="utf-8"?>
<comments xmlns="http://schemas.openxmlformats.org/spreadsheetml/2006/main">
  <authors>
    <author>pc</author>
  </authors>
  <commentList>
    <comment ref="B14" authorId="0">
      <text>
        <r>
          <rPr>
            <b/>
            <sz val="9"/>
            <rFont val="Tahoma"/>
            <family val="0"/>
          </rPr>
          <t>pc:</t>
        </r>
        <r>
          <rPr>
            <sz val="9"/>
            <rFont val="Tahoma"/>
            <family val="0"/>
          </rPr>
          <t xml:space="preserve">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<sst xmlns="http://schemas.openxmlformats.org/spreadsheetml/2006/main" count="3812" uniqueCount="773">
  <si>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</si>
  <si>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</si>
  <si>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</si>
  <si>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</si>
  <si>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</si>
  <si>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</si>
  <si>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</si>
  <si>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</si>
  <si>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</si>
  <si>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</si>
  <si>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</si>
  <si>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</si>
  <si>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</si>
  <si>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</si>
  <si>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</si>
  <si>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</si>
  <si>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</si>
  <si>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</si>
  <si>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</si>
  <si>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</si>
  <si>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</si>
  <si>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</si>
  <si>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</si>
  <si>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</si>
  <si>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</si>
  <si>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</si>
  <si>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</si>
  <si>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</si>
  <si>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</si>
  <si>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</si>
  <si>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</si>
  <si>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</si>
  <si>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</si>
  <si>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</si>
  <si>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</si>
  <si>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</si>
  <si>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</si>
  <si>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</si>
  <si>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</si>
  <si>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</si>
  <si>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</si>
  <si>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</si>
  <si>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</si>
  <si>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</si>
  <si>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</si>
  <si>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</si>
  <si>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</si>
  <si>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</si>
  <si>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</si>
  <si>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</si>
  <si>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</si>
  <si>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</si>
  <si>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</si>
  <si>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</si>
  <si>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</si>
  <si>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</si>
  <si>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</si>
  <si>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</si>
  <si>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</si>
  <si>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</si>
  <si>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</si>
  <si>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</si>
  <si>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</si>
  <si>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</si>
  <si>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</si>
  <si>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</si>
  <si>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</si>
  <si>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</si>
  <si>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</si>
  <si>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</si>
  <si>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</si>
  <si>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</si>
  <si>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</si>
  <si>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</si>
  <si>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</si>
  <si>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</si>
  <si>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</si>
  <si>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</si>
  <si>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</si>
  <si>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</si>
  <si>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</si>
  <si>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</si>
  <si>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</si>
  <si>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</si>
  <si>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</si>
  <si>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</si>
  <si>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</si>
  <si>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</si>
  <si>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</si>
  <si>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</si>
  <si>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</si>
  <si>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</si>
  <si>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</si>
  <si>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</si>
  <si>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</si>
  <si>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</si>
  <si>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</si>
  <si>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</si>
  <si>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</si>
  <si>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</si>
  <si>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</si>
  <si>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</si>
  <si>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</si>
  <si>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</si>
  <si>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</si>
  <si>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</si>
  <si>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</si>
  <si>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</si>
  <si>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</si>
  <si>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</si>
  <si>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</si>
  <si>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</si>
  <si>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</si>
  <si>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</si>
  <si>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</si>
  <si>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</si>
  <si>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</si>
  <si>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</si>
  <si>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</si>
  <si>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</si>
  <si>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</si>
  <si>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</si>
  <si>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</si>
  <si>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</si>
  <si>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</si>
  <si>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</si>
  <si>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</si>
  <si>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</si>
  <si>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</si>
  <si>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</si>
  <si>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</si>
  <si>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</si>
  <si>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</si>
  <si>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</si>
  <si>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</si>
  <si>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</si>
  <si>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</si>
  <si>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</si>
  <si>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</si>
  <si>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</si>
  <si>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</si>
  <si>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</si>
  <si>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</si>
  <si>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</si>
  <si>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</si>
  <si>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</si>
  <si>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</si>
  <si>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</si>
  <si>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</si>
  <si>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</si>
  <si>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</si>
  <si>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</si>
  <si>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</si>
  <si>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</si>
  <si>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</si>
  <si>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</si>
  <si>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</si>
  <si>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</si>
  <si>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</si>
  <si>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</si>
  <si>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</si>
  <si>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</si>
  <si>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</si>
  <si>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</si>
  <si>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</si>
  <si>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</si>
  <si>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</si>
  <si>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</si>
  <si>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</si>
  <si>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</si>
  <si>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</si>
  <si>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</si>
  <si>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</si>
  <si>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</si>
  <si>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</si>
  <si>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</si>
  <si>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</si>
  <si>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</si>
  <si>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</si>
  <si>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</si>
  <si>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</si>
  <si>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</si>
  <si>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</si>
  <si>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</si>
  <si>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</si>
  <si>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</si>
  <si>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</si>
  <si>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</si>
  <si>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</si>
  <si>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</si>
  <si>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</si>
  <si>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</si>
  <si>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</si>
  <si>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</si>
  <si>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</si>
  <si>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</si>
  <si>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</si>
  <si>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</si>
  <si>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</si>
  <si>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</si>
  <si>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</si>
  <si>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</si>
  <si>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</si>
  <si>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</si>
  <si>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</si>
  <si>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</si>
  <si>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</si>
  <si>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</si>
  <si>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</si>
  <si>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</si>
  <si>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</si>
  <si>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</si>
  <si>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</si>
  <si>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</si>
  <si>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</si>
  <si>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</si>
  <si>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</si>
  <si>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</si>
  <si>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</si>
  <si>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</si>
  <si>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</si>
  <si>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</si>
  <si>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</si>
  <si>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</si>
  <si>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</si>
  <si>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</si>
  <si>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</si>
  <si>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</si>
  <si>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</si>
  <si>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</si>
  <si>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</si>
  <si>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</si>
  <si>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</si>
  <si>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</si>
  <si>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</si>
  <si>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</si>
  <si>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</si>
  <si>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</si>
  <si>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</si>
  <si>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</si>
  <si>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</si>
  <si>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</si>
  <si>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</si>
  <si>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</si>
  <si>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</si>
  <si>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</si>
  <si>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</si>
  <si>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</si>
  <si>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</si>
  <si>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</si>
  <si>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</si>
  <si>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</si>
  <si>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</si>
  <si>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</si>
  <si>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</si>
  <si>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</si>
  <si>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</si>
  <si>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</si>
  <si>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</si>
  <si>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</si>
  <si>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</si>
  <si>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</si>
  <si>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</si>
  <si>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</si>
  <si>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</si>
  <si>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</si>
  <si>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</si>
  <si>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</si>
  <si>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</si>
  <si>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</si>
  <si>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</si>
  <si>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</si>
  <si>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</si>
  <si>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</si>
  <si>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</si>
  <si>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</si>
  <si>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</si>
  <si>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</si>
  <si>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</si>
  <si>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</si>
  <si>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</si>
  <si>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</si>
  <si>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</si>
  <si>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</si>
  <si>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</si>
  <si>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</si>
  <si>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</si>
  <si>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</si>
  <si>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</si>
  <si>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</si>
  <si>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</si>
  <si>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</si>
  <si>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</si>
  <si>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</si>
  <si>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</si>
  <si>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</si>
  <si>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</si>
  <si>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</si>
  <si>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</si>
  <si>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</si>
  <si>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</si>
  <si>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</si>
  <si>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</si>
  <si>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</si>
  <si>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</si>
  <si>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</si>
  <si>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</si>
  <si>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</si>
  <si>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</si>
  <si>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</si>
  <si>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</si>
  <si>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</si>
  <si>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</si>
  <si>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</si>
  <si>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</si>
  <si>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</si>
  <si>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</si>
  <si>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</si>
  <si>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</si>
  <si>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</si>
  <si>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</si>
  <si>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</si>
  <si>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</si>
  <si>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</si>
  <si>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</si>
  <si>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</si>
  <si>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</si>
  <si>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</si>
  <si>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</si>
  <si>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</si>
  <si>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</si>
  <si>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</si>
  <si>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</si>
  <si>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</si>
  <si>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</si>
  <si>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</si>
  <si>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</si>
  <si>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</si>
  <si>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</si>
  <si>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</si>
  <si>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</si>
  <si>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</si>
  <si>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</si>
  <si>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</si>
  <si>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</si>
  <si>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</si>
  <si>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</si>
  <si>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</si>
  <si>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</si>
  <si>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</si>
  <si>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</si>
  <si>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</si>
  <si>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</si>
  <si>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</si>
  <si>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</si>
  <si>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</si>
  <si>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</si>
  <si>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</si>
  <si>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</si>
  <si>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</si>
  <si>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</si>
  <si>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</si>
  <si>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</si>
  <si>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</si>
  <si>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</si>
  <si>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</si>
  <si>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</si>
  <si>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</si>
  <si>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</si>
  <si>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</si>
  <si>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</si>
  <si>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</si>
  <si>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</si>
  <si>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</si>
  <si>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</si>
  <si>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</si>
  <si>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</si>
  <si>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</si>
  <si>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</si>
  <si>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</si>
  <si>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</si>
  <si>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</si>
  <si>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</si>
  <si>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</si>
  <si>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</si>
  <si>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</si>
  <si>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</si>
  <si>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</si>
  <si>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</si>
  <si>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</si>
  <si>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</si>
  <si>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</si>
  <si>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</si>
  <si>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</si>
  <si>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</si>
  <si>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</si>
  <si>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</si>
  <si>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</si>
  <si>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</si>
  <si>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</si>
  <si>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</si>
  <si>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</si>
  <si>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</si>
  <si>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</si>
  <si>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</si>
  <si>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</si>
  <si>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</si>
  <si>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</si>
  <si>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</si>
  <si>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</si>
  <si>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</si>
  <si>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</si>
  <si>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</si>
  <si>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</si>
  <si>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</si>
  <si>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</si>
  <si>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</si>
  <si>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</si>
  <si>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</si>
  <si>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</si>
  <si>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</si>
  <si>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</si>
  <si>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</si>
  <si>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</si>
  <si>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</si>
  <si>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</si>
  <si>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</si>
  <si>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</si>
  <si>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</si>
  <si>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</si>
  <si>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</si>
  <si>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</si>
  <si>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</si>
  <si>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</si>
  <si>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</si>
  <si>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</si>
  <si>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</si>
  <si>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</si>
  <si>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</si>
  <si>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</si>
  <si>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</si>
  <si>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</si>
  <si>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</si>
  <si>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</si>
  <si>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</si>
  <si>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</si>
  <si>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</si>
  <si>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</si>
  <si>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</si>
  <si>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</si>
  <si>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</si>
  <si>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</si>
  <si>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</si>
  <si>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</si>
  <si>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</si>
  <si>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</si>
  <si>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</si>
  <si>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</si>
  <si>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</si>
  <si>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</si>
  <si>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</si>
  <si>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</si>
  <si>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</si>
  <si>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</si>
  <si>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</si>
  <si>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</si>
  <si>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</si>
  <si>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</si>
  <si>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</si>
  <si>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</si>
  <si>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</si>
  <si>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</si>
  <si>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</si>
  <si>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</si>
  <si>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</si>
  <si>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</si>
  <si>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</si>
  <si>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</si>
  <si>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</si>
  <si>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</si>
  <si>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</si>
  <si>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</si>
  <si>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</si>
  <si>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</si>
  <si>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</si>
  <si>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</si>
  <si>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</si>
  <si>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</si>
  <si>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</si>
  <si>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</si>
  <si>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</si>
  <si>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</si>
  <si>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</si>
  <si>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</si>
  <si>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</si>
  <si>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</si>
  <si>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</si>
  <si>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</si>
  <si>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</si>
  <si>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</si>
  <si>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</si>
  <si>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</si>
  <si>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</si>
  <si>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</si>
  <si>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</si>
  <si>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</si>
  <si>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</si>
  <si>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</si>
  <si>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</si>
  <si>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</si>
  <si>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</si>
  <si>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</si>
  <si>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</si>
  <si>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</si>
  <si>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</si>
  <si>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</si>
  <si>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</si>
  <si>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</si>
  <si>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</si>
  <si>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</si>
  <si>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</si>
  <si>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</si>
  <si>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</si>
  <si>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</si>
  <si>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</si>
  <si>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</si>
  <si>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</si>
  <si>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</si>
  <si>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</si>
  <si>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</si>
  <si>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</si>
  <si>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</si>
  <si>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</si>
  <si>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</si>
  <si>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</si>
  <si>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</si>
  <si>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</si>
  <si>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</si>
  <si>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</si>
  <si>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</si>
  <si>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</si>
  <si>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</si>
  <si>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</si>
  <si>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</si>
  <si>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</si>
  <si>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</si>
  <si>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</si>
  <si>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</si>
  <si>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</si>
  <si>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</si>
  <si>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</si>
  <si>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</si>
  <si>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</si>
  <si>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</si>
  <si>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</si>
  <si>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</si>
  <si>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</si>
  <si>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</si>
  <si>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</si>
  <si>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</si>
  <si>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</si>
  <si>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</si>
  <si>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</si>
  <si>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</si>
  <si>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</si>
  <si>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</si>
  <si>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</si>
  <si>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</si>
  <si>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</si>
  <si>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</si>
  <si>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</si>
  <si>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</si>
  <si>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</si>
  <si>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</si>
  <si>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</si>
  <si>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</si>
  <si>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</si>
  <si>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</si>
  <si>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</si>
  <si>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</si>
  <si>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</si>
  <si>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</si>
  <si>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</si>
  <si>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</si>
  <si>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</si>
  <si>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</si>
  <si>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</si>
  <si>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</si>
  <si>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</si>
  <si>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</si>
  <si>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</si>
  <si>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</si>
  <si>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</si>
  <si>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</si>
  <si>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</si>
  <si>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</si>
  <si>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</si>
  <si>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</si>
  <si>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</si>
  <si>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</si>
  <si>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</si>
  <si>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</si>
  <si>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</si>
  <si>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</si>
  <si>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</si>
  <si>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</si>
  <si>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</si>
  <si>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</si>
  <si>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</si>
  <si>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</si>
  <si>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</si>
  <si>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</si>
  <si>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</si>
  <si>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</si>
  <si>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</si>
  <si>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</si>
  <si>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</si>
  <si>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</si>
  <si>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</si>
  <si>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</si>
  <si>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</si>
  <si>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</si>
  <si>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</si>
  <si>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</si>
  <si>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</si>
  <si>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</si>
  <si>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</si>
  <si>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</si>
  <si>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</si>
  <si>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</si>
  <si>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</si>
  <si>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</si>
  <si>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</si>
  <si>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</si>
  <si>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</si>
  <si>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</si>
  <si>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</si>
  <si>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</si>
  <si>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</si>
  <si>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</si>
  <si>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</si>
  <si>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</si>
  <si>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</si>
  <si>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</si>
  <si>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</si>
  <si>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</si>
  <si>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</si>
  <si>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</si>
  <si>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</si>
  <si>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</si>
  <si>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</si>
  <si>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</si>
  <si>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</si>
  <si>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</si>
  <si>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</si>
  <si>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</si>
  <si>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</si>
  <si>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</si>
  <si>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</si>
  <si>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</si>
  <si>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</si>
  <si>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</si>
  <si>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</si>
  <si>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</si>
  <si>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</si>
  <si>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</si>
  <si>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</si>
  <si>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</si>
  <si>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</si>
  <si>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</si>
  <si>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</si>
  <si>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</si>
  <si>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</si>
  <si>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ngày 26 tháng 6 năm 201513</t>
  </si>
  <si>
    <t>Biểu số: 11/TK-THA</t>
  </si>
  <si>
    <t>Biểu số: 12/TK-THA</t>
  </si>
  <si>
    <t xml:space="preserve"> Viện KSND cấp cao</t>
  </si>
  <si>
    <t>Ngày nhận báo cáo:………………...…</t>
  </si>
  <si>
    <t>Ngày nhận báo cáo:….……………...…</t>
  </si>
  <si>
    <t xml:space="preserve"> Ngày nhận báo cáo:………………...…</t>
  </si>
  <si>
    <t>Cục THADS tỉnh Bình Thuận</t>
  </si>
  <si>
    <t>Trần Quốc Bảo</t>
  </si>
  <si>
    <t>Trần Nam</t>
  </si>
  <si>
    <t>Cục THADS tỉnh</t>
  </si>
  <si>
    <t>Huỳnh Văn Hùng</t>
  </si>
  <si>
    <t>Nguyễn Văn Bình</t>
  </si>
  <si>
    <t>Nguyễn Hồng Nga</t>
  </si>
  <si>
    <t>Nguyễn Thị Kim Yến</t>
  </si>
  <si>
    <t>Ngô Minh Thành</t>
  </si>
  <si>
    <t>Trần Thanh Lương</t>
  </si>
  <si>
    <t>Hà Vi Tùng</t>
  </si>
  <si>
    <t>Nguyễn Đức Minh</t>
  </si>
  <si>
    <t>Lữ Văn Quí</t>
  </si>
  <si>
    <t>Nguyễn T. Thanh Miền</t>
  </si>
  <si>
    <t>Hồ Sỹ Thông</t>
  </si>
  <si>
    <t>THADS Tp. Phan Thiết</t>
  </si>
  <si>
    <t>Trần Thị Thanh Nga</t>
  </si>
  <si>
    <t>Trần Đức Tín</t>
  </si>
  <si>
    <t>Ngô Trí Hùng</t>
  </si>
  <si>
    <t>Trương Quang Hy</t>
  </si>
  <si>
    <t>Lê Tấn Dũng</t>
  </si>
  <si>
    <t>Ng. Kiều Khánh Trang</t>
  </si>
  <si>
    <t>Đinh Đình Hiền</t>
  </si>
  <si>
    <t>Võ Văn Hiếu</t>
  </si>
  <si>
    <t>Nguyễn Thanh Tùng</t>
  </si>
  <si>
    <t>1.10</t>
  </si>
  <si>
    <t>Bùi Thị Minh Ngà</t>
  </si>
  <si>
    <t>THADS Tx. Lagi</t>
  </si>
  <si>
    <t>Trần Thanh An</t>
  </si>
  <si>
    <t>Hồ Thị Khánh Huệ</t>
  </si>
  <si>
    <t>Nguyễn Chí Lập</t>
  </si>
  <si>
    <t>Khưu Quốc Việt</t>
  </si>
  <si>
    <t>THADS H. Tuy Phong</t>
  </si>
  <si>
    <t>Trần Khắc Minh</t>
  </si>
  <si>
    <t>Trần Sơn</t>
  </si>
  <si>
    <t>Nguyễn Thái Thường</t>
  </si>
  <si>
    <t>Cao Thị Diệu Huyền</t>
  </si>
  <si>
    <t>Qua Đình Thiện</t>
  </si>
  <si>
    <t>THADS H. Bắc Bình</t>
  </si>
  <si>
    <t>Tiền Minh Sướng</t>
  </si>
  <si>
    <t>Lê Văn Hoàng</t>
  </si>
  <si>
    <t>Võ Duy Giáp</t>
  </si>
  <si>
    <t>Huỳnh Thảo Huy</t>
  </si>
  <si>
    <t>THADS H. Đức Linh</t>
  </si>
  <si>
    <t>Huỳnh Tấn Tài</t>
  </si>
  <si>
    <t>Nguyễn Thị Hoà</t>
  </si>
  <si>
    <t>Lê Ngọc Thiện</t>
  </si>
  <si>
    <t>THADS H. Tánh Linh</t>
  </si>
  <si>
    <t>Hoàng Văn Phụng</t>
  </si>
  <si>
    <t>Nguyễn Văn Lập</t>
  </si>
  <si>
    <t>THADS H. Hàm T. Bắc</t>
  </si>
  <si>
    <t>Phan Văn Lại</t>
  </si>
  <si>
    <t>Hồ Triều Châu</t>
  </si>
  <si>
    <t>Lê Ngọc Phách</t>
  </si>
  <si>
    <t>Trần Thị Loan</t>
  </si>
  <si>
    <t>Thông Thị Kiến</t>
  </si>
  <si>
    <t>THADS H. Hàm T. Nam</t>
  </si>
  <si>
    <t>Nguyễn Xuân Kiều</t>
  </si>
  <si>
    <t>Nguyễn Thành Nhân</t>
  </si>
  <si>
    <t>Phạm Thị Sáng</t>
  </si>
  <si>
    <t>Lê Văn Cao</t>
  </si>
  <si>
    <t>THADS H. Hàm Tân</t>
  </si>
  <si>
    <t>Nguyễn Thanh Cao</t>
  </si>
  <si>
    <t>Nguyễn Linh Giang</t>
  </si>
  <si>
    <t>Bùi Thái Bình</t>
  </si>
  <si>
    <t>THADS H. Phú Quý</t>
  </si>
  <si>
    <t>Nguyễn Thị Ngữ</t>
  </si>
  <si>
    <t>Nguyễn Văn Thành</t>
  </si>
  <si>
    <t>Chi cục THADS TP Phan Thiết</t>
  </si>
  <si>
    <t>Chi cục THADS TX Lagi</t>
  </si>
  <si>
    <t>Chi cục THADS H. Tuy Phong</t>
  </si>
  <si>
    <t>Chi cục THADS H. Bắc Bình</t>
  </si>
  <si>
    <t>Chi cục THADS H. Đức Linh</t>
  </si>
  <si>
    <t>Chi cục THADS H. Tánh Linh</t>
  </si>
  <si>
    <t>Chi cục THADS H. Hàm T.Bắc</t>
  </si>
  <si>
    <t>Chi cục THADS H. Hàm T. Nam</t>
  </si>
  <si>
    <t>Chi cục THADS H. Hàm Tân</t>
  </si>
  <si>
    <t>Chi cục THADS H. Phú Quý</t>
  </si>
  <si>
    <t>Cục Thi hành án DS tỉnh</t>
  </si>
  <si>
    <t xml:space="preserve">2 </t>
  </si>
  <si>
    <t>Ng T. Thanh Miền</t>
  </si>
  <si>
    <t xml:space="preserve">12 </t>
  </si>
  <si>
    <t xml:space="preserve">   KẾT QUẢ THI HÀNH ÁN DÂN SỰ TÍNH BẰNG TIỀN </t>
  </si>
  <si>
    <t xml:space="preserve">Đơn vị  nhận báo cáo: </t>
  </si>
  <si>
    <t>Tổng cục THADS - Bộ Tư pháp</t>
  </si>
  <si>
    <t>Tổng cục THADS- Bộ Tư pháp</t>
  </si>
  <si>
    <t>KT. CỤC TRƯỞNG</t>
  </si>
  <si>
    <t>PHÓ CỤC TRƯỞNG</t>
  </si>
  <si>
    <t>Hôn nhân 
và gia đình</t>
  </si>
  <si>
    <r>
      <t xml:space="preserve">
Số lượng </t>
    </r>
    <r>
      <rPr>
        <sz val="10"/>
        <rFont val="Times New Roman"/>
        <family val="1"/>
      </rPr>
      <t>(việc)</t>
    </r>
    <r>
      <rPr>
        <b/>
        <sz val="10"/>
        <rFont val="Times New Roman"/>
        <family val="1"/>
      </rPr>
      <t xml:space="preserve">
</t>
    </r>
  </si>
  <si>
    <r>
      <t xml:space="preserve">Số lượng </t>
    </r>
    <r>
      <rPr>
        <sz val="10"/>
        <rFont val="Times New Roman"/>
        <family val="1"/>
      </rPr>
      <t>(1.000 VN đồng)</t>
    </r>
  </si>
  <si>
    <r>
      <rPr>
        <sz val="12"/>
        <rFont val="Times New Roman"/>
        <family val="1"/>
      </rPr>
      <t>12 tháng / năm 2016</t>
    </r>
  </si>
  <si>
    <r>
      <rPr>
        <sz val="12"/>
        <rFont val="Times New Roman"/>
        <family val="1"/>
      </rPr>
      <t>Bình Thuận, ngày 04 tháng 10 năm 2016</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</si>
</sst>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47">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sz val="12"/>
      <color indexed="8"/>
      <name val="Times New Roman"/>
      <family val="1"/>
    </font>
    <font>
      <sz val="11"/>
      <color indexed="8"/>
      <name val="Times New Roman"/>
      <family val="1"/>
    </font>
    <font>
      <b/>
      <sz val="10"/>
      <color indexed="8"/>
      <name val="Times New Roman"/>
      <family val="1"/>
    </font>
    <font>
      <b/>
      <sz val="11"/>
      <color indexed="8"/>
      <name val="Times New Roman"/>
      <family val="1"/>
    </font>
    <font>
      <sz val="10"/>
      <color indexed="8"/>
      <name val="Times New Roman"/>
      <family val="1"/>
    </font>
    <font>
      <b/>
      <sz val="12"/>
      <color indexed="8"/>
      <name val="Times New Roman"/>
      <family val="1"/>
    </font>
    <font>
      <sz val="8"/>
      <name val="Traditional Arabic"/>
      <family val="1"/>
    </font>
    <font>
      <b/>
      <i/>
      <sz val="8"/>
      <name val="Traditional Arabic"/>
      <family val="1"/>
    </font>
    <font>
      <b/>
      <sz val="13"/>
      <name val=".VnTime"/>
      <family val="2"/>
    </font>
    <font>
      <b/>
      <i/>
      <sz val="13"/>
      <name val="Arial"/>
      <family val="2"/>
    </font>
    <font>
      <i/>
      <sz val="13"/>
      <name val="Arial"/>
      <family val="2"/>
    </font>
    <font>
      <b/>
      <i/>
      <sz val="12"/>
      <color indexed="10"/>
      <name val="Times New Roman"/>
      <family val="1"/>
    </font>
    <font>
      <b/>
      <sz val="9"/>
      <name val=".VnTime"/>
      <family val="2"/>
    </font>
    <font>
      <b/>
      <i/>
      <sz val="12"/>
      <color indexed="12"/>
      <name val="Times New Roman"/>
      <family val="1"/>
    </font>
    <font>
      <i/>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4"/>
        <bgColor indexed="64"/>
      </patternFill>
    </fill>
    <fill>
      <patternFill patternType="solid">
        <fgColor indexed="4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thin"/>
      <right style="thin"/>
      <top style="thin"/>
      <bottom style="double"/>
    </border>
    <border>
      <left>
        <color indexed="63"/>
      </left>
      <right>
        <color indexed="63"/>
      </right>
      <top style="double"/>
      <bottom>
        <color indexed="63"/>
      </bottom>
    </border>
    <border>
      <left>
        <color indexed="63"/>
      </left>
      <right style="thin"/>
      <top style="thin"/>
      <bottom style="double"/>
    </border>
    <border>
      <left style="thin"/>
      <right style="thin"/>
      <top>
        <color indexed="63"/>
      </top>
      <bottom style="double"/>
    </border>
    <border>
      <left style="thin"/>
      <right>
        <color indexed="63"/>
      </right>
      <top style="thin"/>
      <bottom style="double"/>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13"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13"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13"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3"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113"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13"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13"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13"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13"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3"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13"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14"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114"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114"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114"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4"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4"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114"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14"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14"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14"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4"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4"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115"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16" fillId="20" borderId="1" applyNumberFormat="0" applyAlignment="0" applyProtection="0"/>
    <xf numFmtId="0" fontId="45" fillId="20" borderId="1" applyNumberFormat="0" applyAlignment="0" applyProtection="0"/>
    <xf numFmtId="0" fontId="45" fillId="20" borderId="1" applyNumberFormat="0" applyAlignment="0" applyProtection="0"/>
    <xf numFmtId="0" fontId="117" fillId="21" borderId="2" applyNumberFormat="0" applyAlignment="0" applyProtection="0"/>
    <xf numFmtId="0" fontId="46" fillId="21" borderId="2"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19"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20"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121"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122"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12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23" fillId="7" borderId="1" applyNumberFormat="0" applyAlignment="0" applyProtection="0"/>
    <xf numFmtId="0" fontId="52" fillId="7" borderId="1" applyNumberFormat="0" applyAlignment="0" applyProtection="0"/>
    <xf numFmtId="0" fontId="52" fillId="7" borderId="1" applyNumberFormat="0" applyAlignment="0" applyProtection="0"/>
    <xf numFmtId="0" fontId="124"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125"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23" borderId="7" applyNumberFormat="0" applyFont="0" applyAlignment="0" applyProtection="0"/>
    <xf numFmtId="0" fontId="42" fillId="23" borderId="7" applyNumberFormat="0" applyFont="0" applyAlignment="0" applyProtection="0"/>
    <xf numFmtId="0" fontId="42" fillId="23" borderId="7" applyNumberFormat="0" applyFont="0" applyAlignment="0" applyProtection="0"/>
    <xf numFmtId="0" fontId="126" fillId="20" borderId="8" applyNumberFormat="0" applyAlignment="0" applyProtection="0"/>
    <xf numFmtId="0" fontId="55" fillId="20" borderId="8" applyNumberFormat="0" applyAlignment="0" applyProtection="0"/>
    <xf numFmtId="0" fontId="55" fillId="20"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28"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12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884">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0" xfId="96" applyNumberFormat="1" applyFont="1" applyBorder="1" applyAlignment="1">
      <alignment vertical="center"/>
    </xf>
    <xf numFmtId="49" fontId="10" fillId="0" borderId="11" xfId="0" applyNumberFormat="1" applyFont="1" applyBorder="1" applyAlignment="1">
      <alignment horizontal="center"/>
    </xf>
    <xf numFmtId="49" fontId="8" fillId="0" borderId="0" xfId="0" applyNumberFormat="1" applyFont="1" applyAlignment="1">
      <alignment/>
    </xf>
    <xf numFmtId="49" fontId="10" fillId="0" borderId="11" xfId="0" applyNumberFormat="1" applyFont="1" applyFill="1" applyBorder="1" applyAlignment="1">
      <alignment horizontal="left"/>
    </xf>
    <xf numFmtId="49" fontId="12"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10" fillId="0" borderId="13" xfId="0" applyNumberFormat="1" applyFont="1" applyFill="1" applyBorder="1" applyAlignment="1">
      <alignment/>
    </xf>
    <xf numFmtId="49" fontId="10" fillId="0" borderId="11" xfId="0" applyNumberFormat="1" applyFont="1" applyFill="1" applyBorder="1" applyAlignment="1">
      <alignment horizontal="center" vertical="center" wrapText="1"/>
    </xf>
    <xf numFmtId="49" fontId="11" fillId="0" borderId="11" xfId="0" applyNumberFormat="1" applyFont="1" applyFill="1" applyBorder="1" applyAlignment="1">
      <alignment horizontal="center"/>
    </xf>
    <xf numFmtId="49" fontId="11" fillId="0" borderId="11" xfId="0" applyNumberFormat="1" applyFont="1" applyFill="1" applyBorder="1" applyAlignment="1">
      <alignment horizontal="left"/>
    </xf>
    <xf numFmtId="49" fontId="21" fillId="0" borderId="11" xfId="0" applyNumberFormat="1" applyFont="1" applyFill="1" applyBorder="1" applyAlignment="1">
      <alignment horizontal="center" vertical="center" wrapText="1"/>
    </xf>
    <xf numFmtId="49" fontId="11" fillId="0" borderId="14" xfId="0" applyNumberFormat="1" applyFont="1" applyFill="1" applyBorder="1" applyAlignment="1">
      <alignment horizontal="center"/>
    </xf>
    <xf numFmtId="49" fontId="17" fillId="0" borderId="11" xfId="0" applyNumberFormat="1" applyFont="1" applyFill="1" applyBorder="1" applyAlignment="1">
      <alignment horizontal="left"/>
    </xf>
    <xf numFmtId="49" fontId="10" fillId="0" borderId="11" xfId="0" applyNumberFormat="1" applyFont="1" applyFill="1" applyBorder="1" applyAlignment="1">
      <alignment horizontal="center"/>
    </xf>
    <xf numFmtId="49" fontId="12" fillId="0" borderId="11" xfId="0" applyNumberFormat="1" applyFont="1" applyFill="1" applyBorder="1" applyAlignment="1">
      <alignment horizontal="center"/>
    </xf>
    <xf numFmtId="49" fontId="22" fillId="0" borderId="11"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11"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11"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11" xfId="0" applyNumberFormat="1" applyFont="1" applyBorder="1" applyAlignment="1">
      <alignment horizontal="left" vertical="center" wrapText="1"/>
    </xf>
    <xf numFmtId="49" fontId="0" fillId="24" borderId="11" xfId="0" applyNumberFormat="1" applyFont="1" applyFill="1" applyBorder="1" applyAlignment="1">
      <alignment/>
    </xf>
    <xf numFmtId="3" fontId="8" fillId="24" borderId="11" xfId="135" applyNumberFormat="1" applyFont="1" applyFill="1" applyBorder="1" applyAlignment="1" applyProtection="1">
      <alignment horizontal="center" vertical="center"/>
      <protection/>
    </xf>
    <xf numFmtId="49" fontId="0" fillId="24"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24" borderId="13" xfId="136" applyNumberFormat="1" applyFont="1" applyFill="1" applyBorder="1" applyAlignment="1">
      <alignment/>
      <protection/>
    </xf>
    <xf numFmtId="49" fontId="12" fillId="0" borderId="11" xfId="136" applyNumberFormat="1" applyFont="1" applyFill="1" applyBorder="1" applyAlignment="1">
      <alignment horizontal="center" vertical="center" wrapText="1"/>
      <protection/>
    </xf>
    <xf numFmtId="49" fontId="59" fillId="25" borderId="11" xfId="136" applyNumberFormat="1" applyFont="1" applyFill="1" applyBorder="1" applyAlignment="1">
      <alignment horizontal="center"/>
      <protection/>
    </xf>
    <xf numFmtId="49" fontId="12" fillId="0" borderId="12" xfId="136" applyNumberFormat="1" applyFont="1" applyFill="1" applyBorder="1" applyAlignment="1">
      <alignment horizontal="center" vertical="center" wrapText="1"/>
      <protection/>
    </xf>
    <xf numFmtId="49" fontId="12" fillId="0" borderId="11" xfId="136" applyNumberFormat="1" applyFont="1" applyBorder="1" applyAlignment="1">
      <alignment horizontal="center" vertical="center" wrapText="1"/>
      <protection/>
    </xf>
    <xf numFmtId="49" fontId="60" fillId="0" borderId="11" xfId="136" applyNumberFormat="1" applyFont="1" applyFill="1" applyBorder="1" applyAlignment="1">
      <alignment horizontal="center" vertical="center" wrapText="1"/>
      <protection/>
    </xf>
    <xf numFmtId="49" fontId="23" fillId="0" borderId="11" xfId="136" applyNumberFormat="1" applyFont="1" applyBorder="1" applyAlignment="1">
      <alignment horizontal="center" vertical="center"/>
      <protection/>
    </xf>
    <xf numFmtId="3" fontId="0" fillId="0" borderId="11" xfId="136" applyNumberFormat="1" applyFont="1" applyBorder="1" applyAlignment="1">
      <alignment horizontal="center" vertical="center"/>
      <protection/>
    </xf>
    <xf numFmtId="3" fontId="0" fillId="0" borderId="11" xfId="136" applyNumberFormat="1" applyFont="1" applyBorder="1" applyAlignment="1">
      <alignment vertical="center"/>
      <protection/>
    </xf>
    <xf numFmtId="49" fontId="0" fillId="0" borderId="0" xfId="136" applyNumberFormat="1" applyAlignment="1">
      <alignment vertical="center"/>
      <protection/>
    </xf>
    <xf numFmtId="3" fontId="58" fillId="3" borderId="11" xfId="136" applyNumberFormat="1" applyFont="1" applyFill="1" applyBorder="1" applyAlignment="1">
      <alignment vertical="center"/>
      <protection/>
    </xf>
    <xf numFmtId="3" fontId="63" fillId="3" borderId="11" xfId="136" applyNumberFormat="1" applyFont="1" applyFill="1" applyBorder="1" applyAlignment="1">
      <alignment vertical="center"/>
      <protection/>
    </xf>
    <xf numFmtId="49" fontId="64" fillId="0" borderId="11" xfId="136" applyNumberFormat="1" applyFont="1" applyBorder="1" applyAlignment="1">
      <alignment horizontal="center" vertical="center"/>
      <protection/>
    </xf>
    <xf numFmtId="3" fontId="30" fillId="22" borderId="11" xfId="136" applyNumberFormat="1" applyFont="1" applyFill="1" applyBorder="1" applyAlignment="1">
      <alignment vertical="center"/>
      <protection/>
    </xf>
    <xf numFmtId="3" fontId="7" fillId="25" borderId="11" xfId="136" applyNumberFormat="1" applyFont="1" applyFill="1" applyBorder="1" applyAlignment="1">
      <alignment horizontal="center" vertical="center"/>
      <protection/>
    </xf>
    <xf numFmtId="3" fontId="7" fillId="25" borderId="11" xfId="136" applyNumberFormat="1" applyFont="1" applyFill="1" applyBorder="1" applyAlignment="1">
      <alignment vertical="center"/>
      <protection/>
    </xf>
    <xf numFmtId="49" fontId="12" fillId="22" borderId="11" xfId="136" applyNumberFormat="1" applyFont="1" applyFill="1" applyBorder="1" applyAlignment="1">
      <alignment horizontal="center" vertical="center"/>
      <protection/>
    </xf>
    <xf numFmtId="49" fontId="12" fillId="22" borderId="11" xfId="136" applyNumberFormat="1" applyFont="1" applyFill="1" applyBorder="1" applyAlignment="1">
      <alignment horizontal="left" vertical="center"/>
      <protection/>
    </xf>
    <xf numFmtId="3" fontId="34" fillId="25" borderId="11" xfId="136" applyNumberFormat="1" applyFont="1" applyFill="1" applyBorder="1" applyAlignment="1">
      <alignment vertical="center"/>
      <protection/>
    </xf>
    <xf numFmtId="3" fontId="34" fillId="0" borderId="11" xfId="136" applyNumberFormat="1" applyFont="1" applyFill="1" applyBorder="1" applyAlignment="1">
      <alignment vertical="center"/>
      <protection/>
    </xf>
    <xf numFmtId="9" fontId="0" fillId="0" borderId="0" xfId="147" applyFont="1" applyAlignment="1">
      <alignment vertical="center"/>
    </xf>
    <xf numFmtId="49" fontId="12" fillId="22" borderId="14" xfId="136" applyNumberFormat="1" applyFont="1" applyFill="1" applyBorder="1" applyAlignment="1">
      <alignment horizontal="center" vertical="center"/>
      <protection/>
    </xf>
    <xf numFmtId="3" fontId="30" fillId="22" borderId="11" xfId="136" applyNumberFormat="1" applyFont="1" applyFill="1" applyBorder="1" applyAlignment="1">
      <alignment vertical="center"/>
      <protection/>
    </xf>
    <xf numFmtId="49" fontId="8" fillId="0" borderId="11" xfId="136" applyNumberFormat="1" applyFont="1" applyBorder="1" applyAlignment="1">
      <alignment horizontal="center" vertical="center"/>
      <protection/>
    </xf>
    <xf numFmtId="49" fontId="8" fillId="24" borderId="11" xfId="136" applyNumberFormat="1" applyFont="1" applyFill="1" applyBorder="1" applyAlignment="1">
      <alignment horizontal="left" vertical="center"/>
      <protection/>
    </xf>
    <xf numFmtId="49" fontId="10" fillId="24" borderId="11" xfId="136" applyNumberFormat="1" applyFont="1" applyFill="1" applyBorder="1" applyAlignment="1">
      <alignment horizontal="left" vertical="center"/>
      <protection/>
    </xf>
    <xf numFmtId="3" fontId="34" fillId="0" borderId="11"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24" borderId="11" xfId="136" applyNumberFormat="1" applyFont="1" applyFill="1" applyBorder="1" applyAlignment="1">
      <alignment horizontal="left" vertical="center"/>
      <protection/>
    </xf>
    <xf numFmtId="3" fontId="34" fillId="0" borderId="11"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24" borderId="0" xfId="136" applyNumberFormat="1" applyFont="1" applyFill="1">
      <alignment/>
      <protection/>
    </xf>
    <xf numFmtId="0" fontId="30" fillId="0" borderId="0" xfId="136" applyFont="1" applyAlignment="1">
      <alignment horizontal="center"/>
      <protection/>
    </xf>
    <xf numFmtId="49" fontId="30" fillId="24"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13" xfId="136" applyNumberFormat="1" applyFont="1" applyFill="1" applyBorder="1" applyAlignment="1">
      <alignment/>
      <protection/>
    </xf>
    <xf numFmtId="49" fontId="10" fillId="0" borderId="13" xfId="136" applyNumberFormat="1" applyFont="1" applyFill="1" applyBorder="1" applyAlignment="1">
      <alignment horizontal="center"/>
      <protection/>
    </xf>
    <xf numFmtId="49" fontId="0" fillId="0" borderId="0" xfId="136" applyNumberFormat="1" applyFill="1" applyBorder="1">
      <alignment/>
      <protection/>
    </xf>
    <xf numFmtId="49" fontId="11" fillId="0" borderId="11" xfId="136" applyNumberFormat="1" applyFont="1" applyFill="1" applyBorder="1" applyAlignment="1">
      <alignment horizontal="center" vertical="center" wrapText="1"/>
      <protection/>
    </xf>
    <xf numFmtId="49" fontId="24" fillId="0" borderId="11" xfId="136" applyNumberFormat="1" applyFont="1" applyFill="1" applyBorder="1" applyAlignment="1">
      <alignment horizontal="center" vertical="center" wrapText="1"/>
      <protection/>
    </xf>
    <xf numFmtId="3" fontId="35" fillId="3" borderId="11" xfId="136" applyNumberFormat="1" applyFont="1" applyFill="1" applyBorder="1" applyAlignment="1">
      <alignment horizontal="center" vertical="center" wrapText="1"/>
      <protection/>
    </xf>
    <xf numFmtId="3" fontId="75" fillId="3" borderId="11" xfId="136" applyNumberFormat="1" applyFont="1" applyFill="1" applyBorder="1" applyAlignment="1">
      <alignment horizontal="center" vertical="center" wrapText="1"/>
      <protection/>
    </xf>
    <xf numFmtId="3" fontId="11" fillId="22" borderId="11" xfId="136" applyNumberFormat="1" applyFont="1" applyFill="1" applyBorder="1" applyAlignment="1">
      <alignment horizontal="center" vertical="center" wrapText="1"/>
      <protection/>
    </xf>
    <xf numFmtId="49" fontId="12" fillId="0" borderId="11" xfId="136" applyNumberFormat="1" applyFont="1" applyFill="1" applyBorder="1" applyAlignment="1">
      <alignment horizontal="center"/>
      <protection/>
    </xf>
    <xf numFmtId="49" fontId="12" fillId="0" borderId="11" xfId="136" applyNumberFormat="1" applyFont="1" applyFill="1" applyBorder="1" applyAlignment="1">
      <alignment horizontal="left"/>
      <protection/>
    </xf>
    <xf numFmtId="3" fontId="10" fillId="22" borderId="11" xfId="136" applyNumberFormat="1" applyFont="1" applyFill="1" applyBorder="1" applyAlignment="1">
      <alignment horizontal="center" vertical="center" wrapText="1"/>
      <protection/>
    </xf>
    <xf numFmtId="3" fontId="10" fillId="0" borderId="11" xfId="136" applyNumberFormat="1" applyFont="1" applyFill="1" applyBorder="1" applyAlignment="1">
      <alignment horizontal="center" vertical="center" wrapText="1"/>
      <protection/>
    </xf>
    <xf numFmtId="9" fontId="0" fillId="0" borderId="0" xfId="147" applyFont="1" applyFill="1" applyAlignment="1">
      <alignment/>
    </xf>
    <xf numFmtId="49" fontId="12" fillId="22" borderId="14" xfId="136" applyNumberFormat="1" applyFont="1" applyFill="1" applyBorder="1" applyAlignment="1">
      <alignment horizontal="center"/>
      <protection/>
    </xf>
    <xf numFmtId="49" fontId="12" fillId="22" borderId="11" xfId="136" applyNumberFormat="1" applyFont="1" applyFill="1" applyBorder="1" applyAlignment="1">
      <alignment horizontal="left"/>
      <protection/>
    </xf>
    <xf numFmtId="49" fontId="8" fillId="0" borderId="14" xfId="136" applyNumberFormat="1" applyFont="1" applyFill="1" applyBorder="1" applyAlignment="1">
      <alignment horizontal="center"/>
      <protection/>
    </xf>
    <xf numFmtId="49" fontId="8" fillId="24" borderId="11" xfId="136" applyNumberFormat="1" applyFont="1" applyFill="1" applyBorder="1" applyAlignment="1">
      <alignment horizontal="left"/>
      <protection/>
    </xf>
    <xf numFmtId="3" fontId="10" fillId="24" borderId="11" xfId="136" applyNumberFormat="1" applyFont="1" applyFill="1" applyBorder="1" applyAlignment="1">
      <alignment horizontal="center" vertical="center" wrapText="1"/>
      <protection/>
    </xf>
    <xf numFmtId="49" fontId="10" fillId="24" borderId="11" xfId="136" applyNumberFormat="1" applyFont="1" applyFill="1" applyBorder="1" applyAlignment="1">
      <alignment horizontal="left"/>
      <protection/>
    </xf>
    <xf numFmtId="49" fontId="11" fillId="0" borderId="10" xfId="136" applyNumberFormat="1" applyFont="1" applyFill="1" applyBorder="1" applyAlignment="1">
      <alignment horizontal="center"/>
      <protection/>
    </xf>
    <xf numFmtId="49" fontId="11" fillId="0" borderId="10" xfId="136" applyNumberFormat="1" applyFont="1" applyFill="1" applyBorder="1" applyAlignment="1">
      <alignment horizontal="left"/>
      <protection/>
    </xf>
    <xf numFmtId="3" fontId="10" fillId="0" borderId="10"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24" borderId="0" xfId="136" applyNumberFormat="1" applyFont="1" applyFill="1">
      <alignment/>
      <protection/>
    </xf>
    <xf numFmtId="49" fontId="7" fillId="24"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11" xfId="136" applyNumberFormat="1" applyFont="1" applyBorder="1" applyAlignment="1">
      <alignment horizontal="center"/>
      <protection/>
    </xf>
    <xf numFmtId="3" fontId="8" fillId="4" borderId="11" xfId="138" applyNumberFormat="1" applyFont="1" applyFill="1" applyBorder="1" applyAlignment="1">
      <alignment horizontal="center" vertical="center"/>
      <protection/>
    </xf>
    <xf numFmtId="3" fontId="38" fillId="24" borderId="11" xfId="136" applyNumberFormat="1" applyFont="1" applyFill="1" applyBorder="1" applyAlignment="1">
      <alignment horizontal="center" vertical="center"/>
      <protection/>
    </xf>
    <xf numFmtId="3" fontId="22" fillId="3" borderId="11" xfId="136" applyNumberFormat="1" applyFont="1" applyFill="1" applyBorder="1" applyAlignment="1">
      <alignment horizontal="center" vertical="center"/>
      <protection/>
    </xf>
    <xf numFmtId="3" fontId="40" fillId="3" borderId="11" xfId="136" applyNumberFormat="1" applyFont="1" applyFill="1" applyBorder="1" applyAlignment="1">
      <alignment horizontal="center" vertical="center"/>
      <protection/>
    </xf>
    <xf numFmtId="3" fontId="12" fillId="22" borderId="11" xfId="136" applyNumberFormat="1" applyFont="1" applyFill="1" applyBorder="1" applyAlignment="1">
      <alignment horizontal="center" vertical="center"/>
      <protection/>
    </xf>
    <xf numFmtId="3" fontId="12" fillId="22" borderId="11" xfId="136" applyNumberFormat="1" applyFont="1" applyFill="1" applyBorder="1" applyAlignment="1">
      <alignment horizontal="center" vertical="center"/>
      <protection/>
    </xf>
    <xf numFmtId="3" fontId="12" fillId="4" borderId="11" xfId="138" applyNumberFormat="1" applyFont="1" applyFill="1" applyBorder="1" applyAlignment="1">
      <alignment horizontal="center" vertical="center"/>
      <protection/>
    </xf>
    <xf numFmtId="49" fontId="12" fillId="0" borderId="11" xfId="136" applyNumberFormat="1" applyFont="1" applyBorder="1" applyAlignment="1">
      <alignment horizontal="center" vertical="center"/>
      <protection/>
    </xf>
    <xf numFmtId="49" fontId="12" fillId="24" borderId="11" xfId="136" applyNumberFormat="1" applyFont="1" applyFill="1" applyBorder="1" applyAlignment="1">
      <alignment horizontal="left" vertical="center"/>
      <protection/>
    </xf>
    <xf numFmtId="3" fontId="8" fillId="24" borderId="11" xfId="136" applyNumberFormat="1" applyFont="1" applyFill="1" applyBorder="1" applyAlignment="1">
      <alignment horizontal="center" vertical="center"/>
      <protection/>
    </xf>
    <xf numFmtId="3" fontId="8" fillId="22" borderId="11" xfId="136" applyNumberFormat="1" applyFont="1" applyFill="1" applyBorder="1" applyAlignment="1">
      <alignment horizontal="center" vertical="center"/>
      <protection/>
    </xf>
    <xf numFmtId="49" fontId="8" fillId="0" borderId="14"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11" xfId="136" applyNumberFormat="1" applyFont="1" applyFill="1" applyBorder="1" applyAlignment="1">
      <alignment horizontal="center" vertical="center"/>
      <protection/>
    </xf>
    <xf numFmtId="3" fontId="8" fillId="24" borderId="11" xfId="138" applyNumberFormat="1" applyFont="1" applyFill="1" applyBorder="1" applyAlignment="1">
      <alignment horizontal="center" vertical="center"/>
      <protection/>
    </xf>
    <xf numFmtId="49" fontId="8" fillId="24" borderId="14" xfId="136" applyNumberFormat="1" applyFont="1" applyFill="1" applyBorder="1" applyAlignment="1">
      <alignment horizontal="center" vertical="center"/>
      <protection/>
    </xf>
    <xf numFmtId="9" fontId="25" fillId="0" borderId="0" xfId="147" applyFont="1" applyAlignment="1">
      <alignment vertical="center"/>
    </xf>
    <xf numFmtId="49" fontId="8" fillId="0" borderId="0" xfId="136" applyNumberFormat="1" applyFont="1" applyBorder="1" applyAlignment="1">
      <alignment horizontal="center"/>
      <protection/>
    </xf>
    <xf numFmtId="49" fontId="8" fillId="24"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24" borderId="10" xfId="138" applyNumberFormat="1" applyFont="1" applyFill="1" applyBorder="1" applyAlignment="1">
      <alignment horizontal="center" vertical="center"/>
      <protection/>
    </xf>
    <xf numFmtId="9" fontId="0" fillId="0" borderId="0" xfId="147" applyFont="1" applyAlignment="1">
      <alignment/>
    </xf>
    <xf numFmtId="49" fontId="34" fillId="0" borderId="0" xfId="136" applyNumberFormat="1" applyFont="1" applyBorder="1" applyAlignment="1">
      <alignment wrapText="1"/>
      <protection/>
    </xf>
    <xf numFmtId="3" fontId="8" fillId="24"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24"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24" borderId="0" xfId="139" applyNumberFormat="1" applyFont="1" applyFill="1" applyBorder="1" applyAlignment="1">
      <alignment horizontal="left"/>
      <protection/>
    </xf>
    <xf numFmtId="49" fontId="0" fillId="24" borderId="0" xfId="139" applyNumberFormat="1" applyFont="1" applyFill="1" applyBorder="1" applyAlignment="1">
      <alignment horizontal="left"/>
      <protection/>
    </xf>
    <xf numFmtId="49" fontId="32" fillId="0" borderId="0" xfId="139" applyNumberFormat="1" applyFont="1">
      <alignment/>
      <protection/>
    </xf>
    <xf numFmtId="49" fontId="0" fillId="24"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13" xfId="139" applyNumberFormat="1" applyFont="1" applyBorder="1" applyAlignment="1">
      <alignment horizontal="left"/>
      <protection/>
    </xf>
    <xf numFmtId="49" fontId="7" fillId="0" borderId="13"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24" borderId="11"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7" applyFont="1" applyAlignment="1">
      <alignment/>
    </xf>
    <xf numFmtId="3" fontId="0" fillId="24"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11" xfId="139" applyFont="1" applyBorder="1" applyAlignment="1">
      <alignment horizontal="center" vertical="center"/>
      <protection/>
    </xf>
    <xf numFmtId="0" fontId="11" fillId="24" borderId="11" xfId="139" applyFont="1" applyFill="1" applyBorder="1" applyAlignment="1">
      <alignment horizontal="left" vertical="center"/>
      <protection/>
    </xf>
    <xf numFmtId="9" fontId="32" fillId="0" borderId="0" xfId="147" applyFont="1" applyAlignment="1">
      <alignment vertical="center"/>
    </xf>
    <xf numFmtId="0" fontId="10" fillId="0" borderId="14"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24"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13" xfId="139" applyNumberFormat="1" applyFont="1" applyBorder="1" applyAlignment="1">
      <alignment/>
      <protection/>
    </xf>
    <xf numFmtId="49" fontId="11" fillId="0" borderId="11" xfId="139" applyNumberFormat="1" applyFont="1" applyFill="1" applyBorder="1" applyAlignment="1">
      <alignment horizontal="center" vertical="center" wrapText="1"/>
      <protection/>
    </xf>
    <xf numFmtId="49" fontId="10" fillId="0" borderId="15"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16" xfId="139" applyNumberFormat="1" applyFont="1" applyFill="1" applyBorder="1" applyAlignment="1">
      <alignment horizontal="center" vertical="center" wrapText="1"/>
      <protection/>
    </xf>
    <xf numFmtId="49" fontId="24" fillId="0" borderId="11" xfId="139" applyNumberFormat="1" applyFont="1" applyFill="1" applyBorder="1" applyAlignment="1">
      <alignment horizontal="center" vertical="center"/>
      <protection/>
    </xf>
    <xf numFmtId="49" fontId="24" fillId="0" borderId="11"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11" xfId="139" applyNumberFormat="1" applyFont="1" applyFill="1" applyBorder="1" applyAlignment="1">
      <alignment horizontal="center" vertical="center"/>
      <protection/>
    </xf>
    <xf numFmtId="3" fontId="75" fillId="3" borderId="11" xfId="139" applyNumberFormat="1" applyFont="1" applyFill="1" applyBorder="1" applyAlignment="1">
      <alignment horizontal="center" vertical="center"/>
      <protection/>
    </xf>
    <xf numFmtId="3" fontId="35" fillId="4" borderId="11" xfId="139" applyNumberFormat="1" applyFont="1" applyFill="1" applyBorder="1" applyAlignment="1">
      <alignment horizontal="center" vertical="center"/>
      <protection/>
    </xf>
    <xf numFmtId="3" fontId="11" fillId="22" borderId="11" xfId="139" applyNumberFormat="1" applyFont="1" applyFill="1" applyBorder="1" applyAlignment="1">
      <alignment horizontal="center" vertical="center"/>
      <protection/>
    </xf>
    <xf numFmtId="49" fontId="11" fillId="0" borderId="11" xfId="139" applyNumberFormat="1" applyFont="1" applyBorder="1" applyAlignment="1">
      <alignment horizontal="center" vertical="center"/>
      <protection/>
    </xf>
    <xf numFmtId="3" fontId="10" fillId="24" borderId="11" xfId="139" applyNumberFormat="1" applyFont="1" applyFill="1" applyBorder="1" applyAlignment="1">
      <alignment horizontal="center" vertical="center"/>
      <protection/>
    </xf>
    <xf numFmtId="49" fontId="11" fillId="0" borderId="14" xfId="139" applyNumberFormat="1" applyFont="1" applyBorder="1" applyAlignment="1">
      <alignment horizontal="center" vertical="center"/>
      <protection/>
    </xf>
    <xf numFmtId="49" fontId="10" fillId="0" borderId="14" xfId="139" applyNumberFormat="1" applyFont="1" applyBorder="1" applyAlignment="1">
      <alignment horizontal="center" vertical="center"/>
      <protection/>
    </xf>
    <xf numFmtId="3" fontId="10" fillId="0" borderId="11"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15" xfId="139" applyFont="1" applyBorder="1">
      <alignment/>
      <protection/>
    </xf>
    <xf numFmtId="0" fontId="32" fillId="0" borderId="0" xfId="139" applyFont="1" applyBorder="1">
      <alignment/>
      <protection/>
    </xf>
    <xf numFmtId="0" fontId="17" fillId="0" borderId="11" xfId="139" applyFont="1" applyBorder="1" applyAlignment="1">
      <alignment horizontal="center" vertical="center" wrapText="1"/>
      <protection/>
    </xf>
    <xf numFmtId="0" fontId="24" fillId="0" borderId="14" xfId="139" applyFont="1" applyFill="1" applyBorder="1" applyAlignment="1">
      <alignment horizontal="center" vertical="center"/>
      <protection/>
    </xf>
    <xf numFmtId="0" fontId="24" fillId="0" borderId="11" xfId="139" applyFont="1" applyFill="1" applyBorder="1" applyAlignment="1">
      <alignment horizontal="center" vertical="center"/>
      <protection/>
    </xf>
    <xf numFmtId="0" fontId="24" fillId="0" borderId="11" xfId="139" applyFont="1" applyBorder="1" applyAlignment="1">
      <alignment horizontal="center" vertical="center"/>
      <protection/>
    </xf>
    <xf numFmtId="3" fontId="25" fillId="3" borderId="11" xfId="139" applyNumberFormat="1" applyFont="1" applyFill="1" applyBorder="1" applyAlignment="1">
      <alignment horizontal="center" vertical="center"/>
      <protection/>
    </xf>
    <xf numFmtId="3" fontId="41" fillId="3" borderId="11" xfId="139" applyNumberFormat="1" applyFont="1" applyFill="1" applyBorder="1" applyAlignment="1">
      <alignment horizontal="center" vertical="center"/>
      <protection/>
    </xf>
    <xf numFmtId="3" fontId="7" fillId="22" borderId="14" xfId="139" applyNumberFormat="1" applyFont="1" applyFill="1" applyBorder="1" applyAlignment="1">
      <alignment horizontal="center" vertical="center"/>
      <protection/>
    </xf>
    <xf numFmtId="3" fontId="0" fillId="25" borderId="14" xfId="139" applyNumberFormat="1" applyFont="1" applyFill="1" applyBorder="1" applyAlignment="1">
      <alignment horizontal="center" vertical="center"/>
      <protection/>
    </xf>
    <xf numFmtId="3" fontId="0" fillId="0" borderId="11" xfId="139" applyNumberFormat="1" applyFont="1" applyBorder="1" applyAlignment="1">
      <alignment horizontal="center" vertical="center"/>
      <protection/>
    </xf>
    <xf numFmtId="3" fontId="0" fillId="0" borderId="17" xfId="139" applyNumberFormat="1" applyFont="1" applyBorder="1" applyAlignment="1">
      <alignment horizontal="center" vertical="center"/>
      <protection/>
    </xf>
    <xf numFmtId="0" fontId="11" fillId="0" borderId="14" xfId="139" applyFont="1" applyBorder="1" applyAlignment="1">
      <alignment horizontal="center" vertical="center"/>
      <protection/>
    </xf>
    <xf numFmtId="3" fontId="0" fillId="22" borderId="14" xfId="139" applyNumberFormat="1" applyFont="1" applyFill="1" applyBorder="1" applyAlignment="1">
      <alignment horizontal="center" vertical="center"/>
      <protection/>
    </xf>
    <xf numFmtId="3" fontId="0" fillId="24" borderId="11" xfId="139" applyNumberFormat="1" applyFont="1" applyFill="1" applyBorder="1" applyAlignment="1">
      <alignment horizontal="center" vertical="center"/>
      <protection/>
    </xf>
    <xf numFmtId="3" fontId="0" fillId="24" borderId="17"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24" borderId="13" xfId="139" applyNumberFormat="1" applyFont="1" applyFill="1" applyBorder="1" applyAlignment="1">
      <alignment horizontal="center"/>
      <protection/>
    </xf>
    <xf numFmtId="49" fontId="10" fillId="0" borderId="13"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22" borderId="11" xfId="139" applyNumberFormat="1" applyFont="1" applyFill="1" applyBorder="1" applyAlignment="1">
      <alignment horizontal="center" vertical="center"/>
      <protection/>
    </xf>
    <xf numFmtId="3" fontId="32" fillId="0" borderId="11" xfId="139" applyNumberFormat="1" applyFont="1" applyBorder="1" applyAlignment="1">
      <alignment horizontal="center" vertical="center"/>
      <protection/>
    </xf>
    <xf numFmtId="0" fontId="10" fillId="0" borderId="11" xfId="139" applyFont="1" applyBorder="1" applyAlignment="1">
      <alignment horizontal="center" vertical="center"/>
      <protection/>
    </xf>
    <xf numFmtId="3" fontId="10" fillId="0" borderId="11" xfId="139" applyNumberFormat="1" applyFont="1" applyFill="1" applyBorder="1" applyAlignment="1">
      <alignment horizontal="center" vertical="center"/>
      <protection/>
    </xf>
    <xf numFmtId="3" fontId="32" fillId="0" borderId="11"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24"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13" xfId="139" applyNumberFormat="1" applyFont="1" applyBorder="1" applyAlignment="1">
      <alignment/>
      <protection/>
    </xf>
    <xf numFmtId="3" fontId="24" fillId="0" borderId="11" xfId="139" applyNumberFormat="1" applyFont="1" applyBorder="1" applyAlignment="1">
      <alignment horizontal="center" vertical="center"/>
      <protection/>
    </xf>
    <xf numFmtId="49" fontId="32" fillId="24" borderId="0" xfId="139" applyNumberFormat="1" applyFont="1" applyFill="1" applyAlignment="1">
      <alignment vertical="center"/>
      <protection/>
    </xf>
    <xf numFmtId="3" fontId="32" fillId="24" borderId="11" xfId="139" applyNumberFormat="1" applyFont="1" applyFill="1" applyBorder="1" applyAlignment="1">
      <alignment horizontal="center" vertical="center"/>
      <protection/>
    </xf>
    <xf numFmtId="3" fontId="97" fillId="0" borderId="11" xfId="139" applyNumberFormat="1" applyFont="1" applyBorder="1" applyAlignment="1">
      <alignment horizontal="center" vertical="center"/>
      <protection/>
    </xf>
    <xf numFmtId="0" fontId="10" fillId="0" borderId="10" xfId="139" applyFont="1" applyFill="1" applyBorder="1" applyAlignment="1">
      <alignment horizontal="center" vertical="center"/>
      <protection/>
    </xf>
    <xf numFmtId="49" fontId="11" fillId="0" borderId="10" xfId="136" applyNumberFormat="1" applyFont="1" applyFill="1" applyBorder="1" applyAlignment="1">
      <alignment horizontal="left" vertical="center"/>
      <protection/>
    </xf>
    <xf numFmtId="3" fontId="10" fillId="0" borderId="10" xfId="139" applyNumberFormat="1" applyFont="1" applyFill="1" applyBorder="1" applyAlignment="1">
      <alignment horizontal="center" vertical="center"/>
      <protection/>
    </xf>
    <xf numFmtId="3" fontId="24" fillId="0" borderId="10" xfId="139" applyNumberFormat="1" applyFont="1" applyFill="1" applyBorder="1" applyAlignment="1">
      <alignment horizontal="center" vertical="center"/>
      <protection/>
    </xf>
    <xf numFmtId="3" fontId="32" fillId="0" borderId="10" xfId="139" applyNumberFormat="1" applyFont="1" applyFill="1" applyBorder="1" applyAlignment="1">
      <alignment vertical="center"/>
      <protection/>
    </xf>
    <xf numFmtId="3" fontId="98" fillId="0" borderId="10"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24"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24"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18" xfId="139" applyNumberFormat="1" applyFont="1" applyFill="1" applyBorder="1" applyAlignment="1">
      <alignment horizontal="center" vertical="center"/>
      <protection/>
    </xf>
    <xf numFmtId="3" fontId="11" fillId="22" borderId="18" xfId="139" applyNumberFormat="1" applyFont="1" applyFill="1" applyBorder="1" applyAlignment="1">
      <alignment horizontal="center" vertical="center"/>
      <protection/>
    </xf>
    <xf numFmtId="3" fontId="11" fillId="22" borderId="14"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24"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11"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11"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22" borderId="11"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7"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24" borderId="19" xfId="0" applyNumberFormat="1" applyFont="1" applyFill="1" applyBorder="1" applyAlignment="1">
      <alignment/>
    </xf>
    <xf numFmtId="49" fontId="0" fillId="24" borderId="19" xfId="0" applyNumberFormat="1" applyFont="1" applyFill="1" applyBorder="1" applyAlignment="1">
      <alignment/>
    </xf>
    <xf numFmtId="49" fontId="1" fillId="24" borderId="19" xfId="0" applyNumberFormat="1" applyFont="1" applyFill="1" applyBorder="1" applyAlignment="1">
      <alignment/>
    </xf>
    <xf numFmtId="49" fontId="6" fillId="24" borderId="19" xfId="0" applyNumberFormat="1" applyFont="1" applyFill="1" applyBorder="1" applyAlignment="1">
      <alignment/>
    </xf>
    <xf numFmtId="3" fontId="8" fillId="24" borderId="16" xfId="135" applyNumberFormat="1" applyFont="1" applyFill="1" applyBorder="1" applyAlignment="1" applyProtection="1">
      <alignment horizontal="center" vertical="center"/>
      <protection/>
    </xf>
    <xf numFmtId="49" fontId="0" fillId="24" borderId="20" xfId="0" applyNumberFormat="1" applyFont="1" applyFill="1" applyBorder="1" applyAlignment="1">
      <alignment/>
    </xf>
    <xf numFmtId="49" fontId="0" fillId="24" borderId="21" xfId="0" applyNumberFormat="1" applyFont="1" applyFill="1" applyBorder="1" applyAlignment="1">
      <alignment/>
    </xf>
    <xf numFmtId="3" fontId="8" fillId="24" borderId="19" xfId="135" applyNumberFormat="1" applyFont="1" applyFill="1" applyBorder="1" applyAlignment="1" applyProtection="1">
      <alignment horizontal="center" vertical="center"/>
      <protection/>
    </xf>
    <xf numFmtId="49" fontId="0" fillId="24" borderId="22" xfId="0" applyNumberFormat="1" applyFont="1" applyFill="1" applyBorder="1" applyAlignment="1">
      <alignment/>
    </xf>
    <xf numFmtId="49" fontId="0" fillId="24" borderId="22" xfId="0" applyNumberFormat="1" applyFont="1" applyFill="1" applyBorder="1" applyAlignment="1">
      <alignment/>
    </xf>
    <xf numFmtId="49" fontId="0" fillId="24" borderId="23" xfId="0" applyNumberFormat="1" applyFont="1" applyFill="1" applyBorder="1" applyAlignment="1">
      <alignment/>
    </xf>
    <xf numFmtId="3" fontId="8" fillId="24" borderId="20" xfId="135" applyNumberFormat="1" applyFont="1" applyFill="1" applyBorder="1" applyAlignment="1" applyProtection="1">
      <alignment horizontal="center" vertical="center"/>
      <protection/>
    </xf>
    <xf numFmtId="49" fontId="0" fillId="24" borderId="24" xfId="0" applyNumberFormat="1" applyFont="1" applyFill="1" applyBorder="1" applyAlignment="1">
      <alignment/>
    </xf>
    <xf numFmtId="49" fontId="34" fillId="24" borderId="11" xfId="0" applyNumberFormat="1" applyFont="1" applyFill="1" applyBorder="1" applyAlignment="1">
      <alignment/>
    </xf>
    <xf numFmtId="3" fontId="34" fillId="24" borderId="11" xfId="135" applyNumberFormat="1" applyFont="1" applyFill="1" applyBorder="1" applyAlignment="1" applyProtection="1">
      <alignment horizontal="center" vertical="center"/>
      <protection/>
    </xf>
    <xf numFmtId="49" fontId="37" fillId="24" borderId="11" xfId="0" applyNumberFormat="1" applyFont="1" applyFill="1" applyBorder="1" applyAlignment="1">
      <alignment/>
    </xf>
    <xf numFmtId="3" fontId="37" fillId="24" borderId="11" xfId="135" applyNumberFormat="1" applyFont="1" applyFill="1" applyBorder="1" applyAlignment="1" applyProtection="1">
      <alignment horizontal="center" vertical="center"/>
      <protection/>
    </xf>
    <xf numFmtId="49" fontId="34" fillId="24" borderId="11" xfId="0" applyNumberFormat="1" applyFont="1" applyFill="1" applyBorder="1" applyAlignment="1">
      <alignment/>
    </xf>
    <xf numFmtId="49" fontId="58" fillId="24" borderId="11" xfId="0" applyNumberFormat="1" applyFont="1" applyFill="1" applyBorder="1" applyAlignment="1">
      <alignment/>
    </xf>
    <xf numFmtId="3" fontId="58" fillId="24" borderId="11" xfId="135" applyNumberFormat="1" applyFont="1" applyFill="1" applyBorder="1" applyAlignment="1" applyProtection="1">
      <alignment horizontal="center" vertical="center"/>
      <protection/>
    </xf>
    <xf numFmtId="10" fontId="34" fillId="0" borderId="11" xfId="131" applyNumberFormat="1" applyFont="1" applyFill="1" applyBorder="1" applyAlignment="1">
      <alignment horizontal="center" vertical="center"/>
      <protection/>
    </xf>
    <xf numFmtId="10" fontId="58" fillId="0" borderId="11" xfId="131" applyNumberFormat="1" applyFont="1" applyFill="1" applyBorder="1" applyAlignment="1">
      <alignment horizontal="center" vertical="center"/>
      <protection/>
    </xf>
    <xf numFmtId="49" fontId="0" fillId="24" borderId="11" xfId="0" applyNumberFormat="1" applyFill="1" applyBorder="1" applyAlignment="1">
      <alignment/>
    </xf>
    <xf numFmtId="49" fontId="25" fillId="24" borderId="11" xfId="0" applyNumberFormat="1" applyFont="1" applyFill="1" applyBorder="1" applyAlignment="1">
      <alignment/>
    </xf>
    <xf numFmtId="49" fontId="30" fillId="24" borderId="25" xfId="0" applyNumberFormat="1" applyFont="1" applyFill="1" applyBorder="1" applyAlignment="1">
      <alignment/>
    </xf>
    <xf numFmtId="49" fontId="30" fillId="24" borderId="23" xfId="0" applyNumberFormat="1" applyFont="1" applyFill="1" applyBorder="1" applyAlignment="1">
      <alignment/>
    </xf>
    <xf numFmtId="49" fontId="63" fillId="24" borderId="11" xfId="0" applyNumberFormat="1" applyFont="1" applyFill="1" applyBorder="1" applyAlignment="1">
      <alignment/>
    </xf>
    <xf numFmtId="10" fontId="63" fillId="0" borderId="11" xfId="131" applyNumberFormat="1" applyFont="1" applyFill="1" applyBorder="1" applyAlignment="1">
      <alignment horizontal="center" vertical="center"/>
      <protection/>
    </xf>
    <xf numFmtId="3" fontId="63" fillId="24" borderId="11" xfId="135" applyNumberFormat="1" applyFont="1" applyFill="1" applyBorder="1" applyAlignment="1" applyProtection="1">
      <alignment horizontal="center" vertical="center"/>
      <protection/>
    </xf>
    <xf numFmtId="49" fontId="106" fillId="24" borderId="11" xfId="0" applyNumberFormat="1" applyFont="1" applyFill="1" applyBorder="1" applyAlignment="1">
      <alignment/>
    </xf>
    <xf numFmtId="49" fontId="63" fillId="24" borderId="26" xfId="0" applyNumberFormat="1" applyFont="1" applyFill="1" applyBorder="1" applyAlignment="1">
      <alignment/>
    </xf>
    <xf numFmtId="3" fontId="63" fillId="24" borderId="10" xfId="135" applyNumberFormat="1" applyFont="1" applyFill="1" applyBorder="1" applyAlignment="1" applyProtection="1">
      <alignment horizontal="center" vertical="center"/>
      <protection/>
    </xf>
    <xf numFmtId="10" fontId="63" fillId="0" borderId="27" xfId="131" applyNumberFormat="1" applyFont="1" applyFill="1" applyBorder="1" applyAlignment="1">
      <alignment horizontal="center" vertical="center"/>
      <protection/>
    </xf>
    <xf numFmtId="49" fontId="0" fillId="24" borderId="18" xfId="0" applyNumberFormat="1" applyFont="1" applyFill="1" applyBorder="1" applyAlignment="1">
      <alignment/>
    </xf>
    <xf numFmtId="3" fontId="8" fillId="24" borderId="13" xfId="135" applyNumberFormat="1" applyFont="1" applyFill="1" applyBorder="1" applyAlignment="1" applyProtection="1">
      <alignment horizontal="center" vertical="center"/>
      <protection/>
    </xf>
    <xf numFmtId="3" fontId="8" fillId="24" borderId="28" xfId="135" applyNumberFormat="1" applyFont="1" applyFill="1" applyBorder="1" applyAlignment="1" applyProtection="1">
      <alignment horizontal="center" vertical="center"/>
      <protection/>
    </xf>
    <xf numFmtId="49" fontId="41" fillId="24" borderId="11" xfId="0" applyNumberFormat="1" applyFont="1" applyFill="1" applyBorder="1" applyAlignment="1">
      <alignment/>
    </xf>
    <xf numFmtId="49" fontId="30" fillId="0" borderId="17"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left"/>
    </xf>
    <xf numFmtId="10" fontId="7" fillId="0" borderId="11" xfId="131" applyNumberFormat="1" applyFont="1" applyFill="1" applyBorder="1" applyAlignment="1">
      <alignment horizontal="right" vertical="center"/>
      <protection/>
    </xf>
    <xf numFmtId="49" fontId="7" fillId="4" borderId="11" xfId="0" applyNumberFormat="1" applyFont="1" applyFill="1" applyBorder="1" applyAlignment="1">
      <alignment horizontal="center"/>
    </xf>
    <xf numFmtId="49" fontId="7" fillId="4" borderId="11" xfId="0" applyNumberFormat="1" applyFont="1" applyFill="1" applyBorder="1" applyAlignment="1">
      <alignment/>
    </xf>
    <xf numFmtId="49" fontId="10" fillId="0" borderId="17" xfId="0" applyNumberFormat="1" applyFont="1" applyBorder="1" applyAlignment="1">
      <alignment horizontal="center"/>
    </xf>
    <xf numFmtId="3" fontId="12" fillId="4" borderId="17" xfId="135" applyNumberFormat="1" applyFont="1" applyFill="1" applyBorder="1" applyAlignment="1" applyProtection="1">
      <alignment horizontal="center" vertical="center"/>
      <protection/>
    </xf>
    <xf numFmtId="3" fontId="8" fillId="24" borderId="17"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11" xfId="135" applyNumberFormat="1" applyFont="1" applyFill="1" applyBorder="1" applyAlignment="1" applyProtection="1">
      <alignment horizontal="center" vertical="center"/>
      <protection/>
    </xf>
    <xf numFmtId="49" fontId="34" fillId="0" borderId="0" xfId="0" applyNumberFormat="1" applyFont="1" applyAlignment="1">
      <alignment/>
    </xf>
    <xf numFmtId="3" fontId="8" fillId="0" borderId="11" xfId="13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11"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14" xfId="0" applyNumberFormat="1" applyFont="1" applyFill="1" applyBorder="1" applyAlignment="1">
      <alignment horizontal="center" vertical="center"/>
    </xf>
    <xf numFmtId="2" fontId="11" fillId="0" borderId="14"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11" xfId="0" applyNumberFormat="1" applyFont="1" applyFill="1" applyBorder="1" applyAlignment="1">
      <alignment horizontal="center" vertical="center"/>
    </xf>
    <xf numFmtId="1" fontId="10" fillId="0" borderId="11" xfId="0" applyNumberFormat="1" applyFont="1" applyFill="1" applyBorder="1" applyAlignment="1">
      <alignment horizontal="left"/>
    </xf>
    <xf numFmtId="1" fontId="11" fillId="0" borderId="17" xfId="0" applyNumberFormat="1" applyFont="1" applyFill="1" applyBorder="1" applyAlignment="1">
      <alignment horizontal="left"/>
    </xf>
    <xf numFmtId="2" fontId="10" fillId="0" borderId="11" xfId="0" applyNumberFormat="1" applyFont="1" applyFill="1" applyBorder="1" applyAlignment="1">
      <alignment horizontal="left" vertical="center"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10" fillId="0" borderId="11"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16"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17" xfId="0" applyNumberFormat="1" applyFont="1" applyFill="1" applyBorder="1" applyAlignment="1">
      <alignment horizontal="center" vertical="center" wrapText="1"/>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11"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12"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17"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0"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18" fillId="0" borderId="11" xfId="0" applyNumberFormat="1" applyFont="1" applyFill="1" applyBorder="1" applyAlignment="1" applyProtection="1">
      <alignment horizontal="center" vertical="center"/>
      <protection/>
    </xf>
    <xf numFmtId="49" fontId="18" fillId="0" borderId="29"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11" xfId="0" applyNumberFormat="1" applyFont="1" applyFill="1" applyBorder="1" applyAlignment="1" applyProtection="1">
      <alignment horizontal="center" vertical="center"/>
      <protection/>
    </xf>
    <xf numFmtId="49" fontId="36" fillId="0" borderId="29" xfId="0"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1" xfId="0" applyNumberFormat="1" applyFont="1" applyFill="1" applyBorder="1" applyAlignment="1">
      <alignment/>
    </xf>
    <xf numFmtId="49" fontId="30" fillId="0" borderId="11" xfId="0" applyNumberFormat="1" applyFont="1" applyBorder="1" applyAlignment="1">
      <alignment horizontal="center"/>
    </xf>
    <xf numFmtId="1" fontId="29" fillId="0" borderId="16" xfId="0" applyNumberFormat="1" applyFont="1" applyFill="1" applyBorder="1" applyAlignment="1">
      <alignment horizontal="center" vertical="center"/>
    </xf>
    <xf numFmtId="0" fontId="0" fillId="0" borderId="11" xfId="0" applyBorder="1" applyAlignment="1">
      <alignment/>
    </xf>
    <xf numFmtId="0" fontId="0" fillId="26" borderId="11" xfId="0" applyFill="1" applyBorder="1" applyAlignment="1">
      <alignment/>
    </xf>
    <xf numFmtId="0" fontId="0" fillId="0" borderId="30" xfId="0" applyFill="1" applyBorder="1" applyAlignment="1">
      <alignment/>
    </xf>
    <xf numFmtId="1" fontId="29" fillId="0" borderId="11" xfId="0" applyNumberFormat="1" applyFont="1" applyFill="1" applyBorder="1" applyAlignment="1">
      <alignment horizontal="center" vertical="center"/>
    </xf>
    <xf numFmtId="2" fontId="8" fillId="0" borderId="11" xfId="0" applyNumberFormat="1" applyFont="1" applyBorder="1" applyAlignment="1">
      <alignment horizontal="left" vertical="center" wrapText="1"/>
    </xf>
    <xf numFmtId="49" fontId="8" fillId="0" borderId="11" xfId="0" applyNumberFormat="1" applyFont="1" applyBorder="1" applyAlignment="1">
      <alignment wrapText="1"/>
    </xf>
    <xf numFmtId="0" fontId="12" fillId="0" borderId="12" xfId="0" applyNumberFormat="1" applyFont="1" applyFill="1" applyBorder="1" applyAlignment="1">
      <alignment horizontal="center" vertical="center" wrapText="1"/>
    </xf>
    <xf numFmtId="49" fontId="0" fillId="0" borderId="0" xfId="0" applyNumberFormat="1" applyFill="1" applyBorder="1" applyAlignment="1">
      <alignment/>
    </xf>
    <xf numFmtId="0" fontId="25" fillId="26" borderId="11" xfId="0" applyFont="1" applyFill="1" applyBorder="1" applyAlignment="1">
      <alignment/>
    </xf>
    <xf numFmtId="0" fontId="0" fillId="26" borderId="30" xfId="0" applyFont="1" applyFill="1" applyBorder="1" applyAlignment="1">
      <alignment/>
    </xf>
    <xf numFmtId="0" fontId="0" fillId="26" borderId="11" xfId="0" applyFont="1" applyFill="1" applyBorder="1" applyAlignment="1">
      <alignment/>
    </xf>
    <xf numFmtId="2" fontId="8" fillId="0" borderId="12"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13" xfId="137" applyNumberFormat="1" applyFont="1" applyFill="1" applyBorder="1" applyAlignment="1">
      <alignment horizontal="left" vertical="center"/>
      <protection/>
    </xf>
    <xf numFmtId="49" fontId="0" fillId="0" borderId="0" xfId="137" applyNumberFormat="1" applyFont="1" applyFill="1" applyAlignment="1">
      <alignment vertical="center"/>
      <protection/>
    </xf>
    <xf numFmtId="9" fontId="0" fillId="0" borderId="0" xfId="150" applyFont="1" applyFill="1" applyAlignment="1">
      <alignment vertical="center"/>
    </xf>
    <xf numFmtId="49" fontId="1" fillId="0" borderId="0" xfId="137" applyNumberFormat="1" applyFont="1" applyFill="1">
      <alignment/>
      <protection/>
    </xf>
    <xf numFmtId="49" fontId="67"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7"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13" xfId="137" applyNumberFormat="1" applyFont="1" applyFill="1" applyBorder="1" applyAlignment="1">
      <alignment/>
      <protection/>
    </xf>
    <xf numFmtId="49" fontId="10" fillId="0" borderId="13" xfId="137" applyNumberFormat="1" applyFont="1" applyFill="1" applyBorder="1" applyAlignment="1">
      <alignment horizontal="center"/>
      <protection/>
    </xf>
    <xf numFmtId="49" fontId="24" fillId="0" borderId="11" xfId="137" applyNumberFormat="1" applyFont="1" applyFill="1" applyBorder="1" applyAlignment="1">
      <alignment horizontal="center" vertical="center" wrapText="1"/>
      <protection/>
    </xf>
    <xf numFmtId="49" fontId="11" fillId="0" borderId="10" xfId="137" applyNumberFormat="1" applyFont="1" applyFill="1" applyBorder="1" applyAlignment="1">
      <alignment horizontal="center"/>
      <protection/>
    </xf>
    <xf numFmtId="49" fontId="11" fillId="0" borderId="10" xfId="137" applyNumberFormat="1" applyFont="1" applyFill="1" applyBorder="1" applyAlignment="1">
      <alignment horizontal="left"/>
      <protection/>
    </xf>
    <xf numFmtId="3" fontId="10" fillId="0" borderId="10"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11" xfId="137" applyNumberFormat="1" applyFont="1" applyFill="1" applyBorder="1" applyAlignment="1">
      <alignment horizont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8"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0" applyNumberFormat="1" applyFont="1" applyFill="1" applyAlignment="1">
      <alignment horizontal="lef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13" xfId="140" applyNumberFormat="1" applyFont="1" applyFill="1" applyBorder="1" applyAlignment="1">
      <alignment horizontal="left"/>
      <protection/>
    </xf>
    <xf numFmtId="49" fontId="7" fillId="0" borderId="13" xfId="140" applyNumberFormat="1" applyFont="1" applyFill="1" applyBorder="1" applyAlignment="1">
      <alignment horizontal="left"/>
      <protection/>
    </xf>
    <xf numFmtId="49" fontId="17" fillId="0" borderId="11" xfId="140" applyNumberFormat="1" applyFont="1" applyFill="1" applyBorder="1" applyAlignment="1">
      <alignment horizontal="center" vertical="center" wrapText="1" readingOrder="1"/>
      <protection/>
    </xf>
    <xf numFmtId="49" fontId="32" fillId="0" borderId="0" xfId="140" applyNumberFormat="1" applyFont="1" applyFill="1" applyBorder="1">
      <alignment/>
      <protection/>
    </xf>
    <xf numFmtId="49" fontId="17" fillId="0" borderId="0" xfId="140" applyNumberFormat="1" applyFont="1" applyFill="1" applyBorder="1" applyAlignment="1">
      <alignment vertical="justify" textRotation="90" wrapText="1"/>
      <protection/>
    </xf>
    <xf numFmtId="49" fontId="80" fillId="0" borderId="17" xfId="140" applyNumberFormat="1" applyFont="1" applyFill="1" applyBorder="1" applyAlignment="1">
      <alignment wrapText="1"/>
      <protection/>
    </xf>
    <xf numFmtId="49" fontId="80" fillId="0" borderId="16" xfId="140" applyNumberFormat="1" applyFont="1" applyFill="1" applyBorder="1" applyAlignment="1">
      <alignment wrapText="1"/>
      <protection/>
    </xf>
    <xf numFmtId="49" fontId="110" fillId="0" borderId="28" xfId="140" applyNumberFormat="1" applyFont="1" applyFill="1" applyBorder="1" applyAlignment="1">
      <alignment horizontal="center" wrapText="1"/>
      <protection/>
    </xf>
    <xf numFmtId="49" fontId="24" fillId="0" borderId="14" xfId="140" applyNumberFormat="1" applyFont="1" applyFill="1" applyBorder="1" applyAlignment="1">
      <alignment horizontal="center"/>
      <protection/>
    </xf>
    <xf numFmtId="49" fontId="17" fillId="0" borderId="0" xfId="140" applyNumberFormat="1" applyFont="1" applyFill="1" applyBorder="1" applyAlignment="1">
      <alignment vertical="center" textRotation="90" wrapText="1"/>
      <protection/>
    </xf>
    <xf numFmtId="49" fontId="32" fillId="0" borderId="0" xfId="140" applyNumberFormat="1" applyFont="1" applyFill="1" applyBorder="1" applyAlignment="1">
      <alignment vertical="center"/>
      <protection/>
    </xf>
    <xf numFmtId="49" fontId="32" fillId="0" borderId="0" xfId="140" applyNumberFormat="1" applyFont="1" applyFill="1" applyAlignment="1">
      <alignment vertical="center"/>
      <protection/>
    </xf>
    <xf numFmtId="49" fontId="29" fillId="0" borderId="0" xfId="140" applyNumberFormat="1" applyFont="1" applyFill="1" applyBorder="1" applyAlignment="1">
      <alignment vertical="center" textRotation="90" wrapText="1"/>
      <protection/>
    </xf>
    <xf numFmtId="49" fontId="1" fillId="0" borderId="0" xfId="140" applyNumberFormat="1" applyFont="1" applyFill="1">
      <alignment/>
      <protection/>
    </xf>
    <xf numFmtId="49" fontId="85" fillId="0" borderId="0" xfId="140" applyNumberFormat="1" applyFont="1" applyFill="1">
      <alignment/>
      <protection/>
    </xf>
    <xf numFmtId="49" fontId="10" fillId="0" borderId="0" xfId="140" applyNumberFormat="1" applyFont="1" applyFill="1">
      <alignment/>
      <protection/>
    </xf>
    <xf numFmtId="49" fontId="34" fillId="0" borderId="0" xfId="140" applyNumberFormat="1" applyFont="1" applyFill="1">
      <alignment/>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9" fontId="32" fillId="0" borderId="0" xfId="150" applyFont="1" applyFill="1" applyAlignment="1">
      <alignment/>
    </xf>
    <xf numFmtId="0" fontId="0" fillId="0" borderId="0" xfId="140" applyNumberFormat="1" applyFont="1" applyFill="1" applyAlignment="1">
      <alignment horizontal="left"/>
      <protection/>
    </xf>
    <xf numFmtId="0" fontId="19" fillId="0" borderId="0" xfId="140" applyNumberFormat="1" applyFont="1" applyFill="1" applyAlignment="1">
      <alignment wrapText="1"/>
      <protection/>
    </xf>
    <xf numFmtId="3" fontId="0" fillId="0" borderId="0" xfId="140" applyNumberFormat="1" applyFont="1" applyFill="1" applyBorder="1" applyAlignment="1">
      <alignment/>
      <protection/>
    </xf>
    <xf numFmtId="0" fontId="32" fillId="0" borderId="0" xfId="140" applyFont="1" applyFill="1">
      <alignment/>
      <protection/>
    </xf>
    <xf numFmtId="0" fontId="0" fillId="0" borderId="0" xfId="140" applyFont="1" applyFill="1" applyAlignment="1">
      <alignment horizontal="left"/>
      <protection/>
    </xf>
    <xf numFmtId="0" fontId="0" fillId="0" borderId="0" xfId="140" applyFont="1" applyFill="1" applyBorder="1" applyAlignment="1">
      <alignment/>
      <protection/>
    </xf>
    <xf numFmtId="0" fontId="20" fillId="0" borderId="0" xfId="140" applyFont="1" applyFill="1" applyAlignment="1">
      <alignment/>
      <protection/>
    </xf>
    <xf numFmtId="0" fontId="0" fillId="0" borderId="0" xfId="140" applyFont="1" applyFill="1" applyBorder="1" applyAlignment="1">
      <alignment horizontal="left"/>
      <protection/>
    </xf>
    <xf numFmtId="0" fontId="23" fillId="0" borderId="13" xfId="140" applyFont="1" applyFill="1" applyBorder="1" applyAlignment="1">
      <alignment horizontal="left"/>
      <protection/>
    </xf>
    <xf numFmtId="0" fontId="31" fillId="0" borderId="11"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17" xfId="140" applyFont="1" applyFill="1" applyBorder="1" applyAlignment="1">
      <alignment wrapText="1"/>
      <protection/>
    </xf>
    <xf numFmtId="0" fontId="80" fillId="0" borderId="16" xfId="140" applyFont="1" applyFill="1" applyBorder="1" applyAlignment="1">
      <alignment wrapText="1"/>
      <protection/>
    </xf>
    <xf numFmtId="3" fontId="110" fillId="0" borderId="28" xfId="140" applyNumberFormat="1" applyFont="1" applyFill="1" applyBorder="1" applyAlignment="1">
      <alignment horizontal="center" wrapText="1"/>
      <protection/>
    </xf>
    <xf numFmtId="0" fontId="24" fillId="0" borderId="14" xfId="140" applyFont="1" applyFill="1" applyBorder="1" applyAlignment="1">
      <alignment horizontal="center"/>
      <protection/>
    </xf>
    <xf numFmtId="0" fontId="110" fillId="0" borderId="28" xfId="140" applyFont="1" applyFill="1" applyBorder="1" applyAlignment="1">
      <alignment horizontal="center" wrapText="1"/>
      <protection/>
    </xf>
    <xf numFmtId="9" fontId="32" fillId="0" borderId="0" xfId="150" applyFont="1" applyFill="1" applyAlignment="1">
      <alignment vertical="center"/>
    </xf>
    <xf numFmtId="0" fontId="1" fillId="0" borderId="0" xfId="140" applyFont="1" applyFill="1">
      <alignment/>
      <protection/>
    </xf>
    <xf numFmtId="0" fontId="37" fillId="0" borderId="0" xfId="140" applyNumberFormat="1" applyFont="1" applyFill="1" applyBorder="1" applyAlignment="1">
      <alignment/>
      <protection/>
    </xf>
    <xf numFmtId="0" fontId="30" fillId="0" borderId="0" xfId="140" applyNumberFormat="1" applyFont="1" applyFill="1" applyBorder="1" applyAlignment="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49" fontId="8" fillId="0" borderId="0" xfId="140" applyNumberFormat="1" applyFont="1" applyFill="1" applyBorder="1" applyAlignment="1">
      <alignment horizontal="left"/>
      <protection/>
    </xf>
    <xf numFmtId="49" fontId="0" fillId="0" borderId="13" xfId="140" applyNumberFormat="1" applyFont="1" applyFill="1" applyBorder="1" applyAlignment="1">
      <alignment/>
      <protection/>
    </xf>
    <xf numFmtId="49" fontId="11" fillId="0" borderId="11" xfId="140" applyNumberFormat="1" applyFont="1" applyFill="1" applyBorder="1" applyAlignment="1">
      <alignment horizontal="center" vertical="center" wrapText="1"/>
      <protection/>
    </xf>
    <xf numFmtId="49" fontId="10" fillId="0" borderId="15" xfId="140" applyNumberFormat="1" applyFont="1" applyFill="1" applyBorder="1">
      <alignment/>
      <protection/>
    </xf>
    <xf numFmtId="49" fontId="29" fillId="0" borderId="0" xfId="140" applyNumberFormat="1" applyFont="1" applyFill="1">
      <alignment/>
      <protection/>
    </xf>
    <xf numFmtId="49" fontId="11" fillId="0" borderId="16" xfId="140" applyNumberFormat="1" applyFont="1" applyFill="1" applyBorder="1" applyAlignment="1">
      <alignment horizontal="center" vertical="center" wrapText="1"/>
      <protection/>
    </xf>
    <xf numFmtId="49" fontId="24" fillId="0" borderId="11" xfId="140" applyNumberFormat="1" applyFont="1" applyFill="1" applyBorder="1" applyAlignment="1">
      <alignment horizontal="center" vertical="center"/>
      <protection/>
    </xf>
    <xf numFmtId="49" fontId="10" fillId="0" borderId="0" xfId="140" applyNumberFormat="1" applyFont="1" applyFill="1" applyAlignment="1">
      <alignment vertical="center"/>
      <protection/>
    </xf>
    <xf numFmtId="3" fontId="10" fillId="0" borderId="11" xfId="140" applyNumberFormat="1" applyFont="1" applyFill="1" applyBorder="1" applyAlignment="1">
      <alignment horizontal="center" vertical="center"/>
      <protection/>
    </xf>
    <xf numFmtId="49" fontId="93" fillId="0" borderId="0" xfId="140" applyNumberFormat="1" applyFont="1" applyFill="1">
      <alignment/>
      <protection/>
    </xf>
    <xf numFmtId="49" fontId="26" fillId="0" borderId="0" xfId="140" applyNumberFormat="1" applyFont="1" applyFill="1">
      <alignment/>
      <protection/>
    </xf>
    <xf numFmtId="0" fontId="12" fillId="0" borderId="0" xfId="140" applyFont="1" applyFill="1" applyBorder="1" applyAlignment="1">
      <alignment/>
      <protection/>
    </xf>
    <xf numFmtId="0" fontId="17" fillId="0" borderId="11" xfId="140" applyFont="1" applyFill="1" applyBorder="1" applyAlignment="1">
      <alignment horizontal="center" vertical="center" wrapText="1"/>
      <protection/>
    </xf>
    <xf numFmtId="0" fontId="24" fillId="0" borderId="14" xfId="140" applyFont="1" applyFill="1" applyBorder="1" applyAlignment="1">
      <alignment horizontal="center" vertical="center"/>
      <protection/>
    </xf>
    <xf numFmtId="0" fontId="24" fillId="0" borderId="11" xfId="140" applyFont="1" applyFill="1" applyBorder="1" applyAlignment="1">
      <alignment horizontal="center" vertical="center"/>
      <protection/>
    </xf>
    <xf numFmtId="0" fontId="21" fillId="0" borderId="0" xfId="140" applyFont="1" applyFill="1">
      <alignment/>
      <protection/>
    </xf>
    <xf numFmtId="0" fontId="33" fillId="0" borderId="0" xfId="140" applyFont="1" applyFill="1">
      <alignment/>
      <protection/>
    </xf>
    <xf numFmtId="0" fontId="18" fillId="0" borderId="0" xfId="140" applyFont="1" applyFill="1">
      <alignment/>
      <protection/>
    </xf>
    <xf numFmtId="49" fontId="18" fillId="0" borderId="0" xfId="140" applyNumberFormat="1" applyFont="1" applyFill="1">
      <alignment/>
      <protection/>
    </xf>
    <xf numFmtId="0" fontId="87" fillId="0" borderId="0" xfId="140" applyFont="1" applyFill="1">
      <alignment/>
      <protection/>
    </xf>
    <xf numFmtId="49" fontId="32" fillId="0" borderId="0" xfId="140" applyNumberFormat="1" applyFont="1" applyFill="1">
      <alignment/>
      <protection/>
    </xf>
    <xf numFmtId="49" fontId="32" fillId="0" borderId="0" xfId="140" applyNumberFormat="1" applyFont="1" applyFill="1" applyAlignment="1">
      <alignment horizontal="center"/>
      <protection/>
    </xf>
    <xf numFmtId="3" fontId="24" fillId="0" borderId="13" xfId="140" applyNumberFormat="1" applyFont="1" applyFill="1" applyBorder="1" applyAlignment="1">
      <alignment horizontal="center"/>
      <protection/>
    </xf>
    <xf numFmtId="49" fontId="10" fillId="0" borderId="13" xfId="140" applyNumberFormat="1" applyFont="1" applyFill="1" applyBorder="1" applyAlignment="1">
      <alignment/>
      <protection/>
    </xf>
    <xf numFmtId="49" fontId="32" fillId="0" borderId="0" xfId="140" applyNumberFormat="1" applyFont="1" applyFill="1" applyAlignment="1">
      <alignment vertical="center"/>
      <protection/>
    </xf>
    <xf numFmtId="49" fontId="85" fillId="0" borderId="0" xfId="140" applyNumberFormat="1" applyFont="1" applyFill="1">
      <alignment/>
      <protection/>
    </xf>
    <xf numFmtId="9" fontId="32" fillId="0" borderId="0" xfId="149" applyFont="1" applyFill="1" applyAlignment="1">
      <alignment/>
    </xf>
    <xf numFmtId="49" fontId="85" fillId="0" borderId="0" xfId="140" applyNumberFormat="1" applyFont="1" applyFill="1" applyAlignment="1">
      <alignment horizontal="center"/>
      <protection/>
    </xf>
    <xf numFmtId="49" fontId="7" fillId="0" borderId="0" xfId="140" applyNumberFormat="1" applyFont="1" applyFill="1" applyBorder="1" applyAlignment="1">
      <alignment/>
      <protection/>
    </xf>
    <xf numFmtId="49" fontId="11" fillId="0" borderId="13" xfId="140" applyNumberFormat="1" applyFont="1" applyFill="1" applyBorder="1" applyAlignment="1">
      <alignment/>
      <protection/>
    </xf>
    <xf numFmtId="49" fontId="30" fillId="0" borderId="0" xfId="137" applyNumberFormat="1" applyFont="1" applyFill="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24" fillId="0" borderId="18" xfId="140" applyNumberFormat="1" applyFont="1" applyFill="1" applyBorder="1" applyAlignment="1">
      <alignment horizontal="center" vertical="center"/>
      <protection/>
    </xf>
    <xf numFmtId="49" fontId="7" fillId="0" borderId="0" xfId="140" applyNumberFormat="1" applyFont="1" applyFill="1" applyAlignment="1">
      <alignment horizontal="center"/>
      <protection/>
    </xf>
    <xf numFmtId="49" fontId="7" fillId="0" borderId="0" xfId="140" applyNumberFormat="1" applyFont="1" applyFill="1">
      <alignment/>
      <protection/>
    </xf>
    <xf numFmtId="3" fontId="7" fillId="0" borderId="0" xfId="140" applyNumberFormat="1" applyFont="1" applyFill="1" applyBorder="1" applyAlignment="1">
      <alignment/>
      <protection/>
    </xf>
    <xf numFmtId="0" fontId="7" fillId="0" borderId="0" xfId="140" applyFont="1" applyFill="1">
      <alignment/>
      <protection/>
    </xf>
    <xf numFmtId="0" fontId="8" fillId="0" borderId="0" xfId="140" applyFont="1" applyFill="1" applyBorder="1" applyAlignment="1">
      <alignment horizontal="left"/>
      <protection/>
    </xf>
    <xf numFmtId="3" fontId="0" fillId="0" borderId="0" xfId="140" applyNumberFormat="1" applyFont="1" applyFill="1" applyAlignment="1">
      <alignment horizontal="left"/>
      <protection/>
    </xf>
    <xf numFmtId="0" fontId="18" fillId="0" borderId="0" xfId="140" applyFont="1" applyFill="1" applyBorder="1" applyAlignment="1">
      <alignment/>
      <protection/>
    </xf>
    <xf numFmtId="0" fontId="12" fillId="0" borderId="11" xfId="140" applyFont="1" applyFill="1" applyBorder="1" applyAlignment="1">
      <alignment horizontal="center" vertical="center" wrapText="1"/>
      <protection/>
    </xf>
    <xf numFmtId="3" fontId="23" fillId="0" borderId="11" xfId="140" applyNumberFormat="1" applyFont="1" applyFill="1" applyBorder="1" applyAlignment="1">
      <alignment horizontal="center" vertical="center"/>
      <protection/>
    </xf>
    <xf numFmtId="0" fontId="0" fillId="0" borderId="0" xfId="140" applyFont="1" applyFill="1" applyAlignment="1">
      <alignment horizontal="center" vertical="center"/>
      <protection/>
    </xf>
    <xf numFmtId="0" fontId="7" fillId="0" borderId="0" xfId="140" applyFont="1" applyFill="1" applyAlignment="1">
      <alignment vertical="center"/>
      <protection/>
    </xf>
    <xf numFmtId="0" fontId="7" fillId="0" borderId="0" xfId="140" applyFont="1" applyFill="1" applyAlignment="1">
      <alignment horizontal="center"/>
      <protection/>
    </xf>
    <xf numFmtId="0" fontId="30" fillId="0" borderId="0" xfId="140" applyFont="1" applyFill="1">
      <alignment/>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11" xfId="140" applyNumberFormat="1" applyFont="1" applyFill="1" applyBorder="1" applyAlignment="1">
      <alignment horizontal="center" vertical="center" wrapText="1"/>
      <protection/>
    </xf>
    <xf numFmtId="0" fontId="18" fillId="0" borderId="11" xfId="140" applyFont="1" applyFill="1" applyBorder="1" applyAlignment="1">
      <alignment horizontal="center"/>
      <protection/>
    </xf>
    <xf numFmtId="0" fontId="18" fillId="0" borderId="29" xfId="140" applyFont="1" applyFill="1" applyBorder="1" applyAlignment="1">
      <alignment horizontal="center"/>
      <protection/>
    </xf>
    <xf numFmtId="49" fontId="10" fillId="0" borderId="11" xfId="137" applyNumberFormat="1" applyFont="1" applyFill="1" applyBorder="1" applyAlignment="1">
      <alignment horizontal="center" vertical="center" wrapText="1"/>
      <protection/>
    </xf>
    <xf numFmtId="49" fontId="10" fillId="0" borderId="12" xfId="137" applyNumberFormat="1" applyFont="1" applyFill="1" applyBorder="1" applyAlignment="1">
      <alignment horizontal="center" vertical="center" wrapText="1"/>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11"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0" fontId="34" fillId="0" borderId="0" xfId="140" applyNumberFormat="1" applyFont="1" applyFill="1">
      <alignment/>
      <protection/>
    </xf>
    <xf numFmtId="0" fontId="19" fillId="0" borderId="0" xfId="137" applyNumberFormat="1" applyFont="1" applyFill="1" applyAlignment="1">
      <alignment/>
      <protection/>
    </xf>
    <xf numFmtId="0" fontId="111" fillId="0" borderId="0" xfId="140" applyNumberFormat="1" applyFont="1" applyFill="1">
      <alignment/>
      <protection/>
    </xf>
    <xf numFmtId="0" fontId="0" fillId="0" borderId="0" xfId="140" applyFont="1" applyFill="1" applyBorder="1" applyAlignment="1">
      <alignment horizontal="left"/>
      <protection/>
    </xf>
    <xf numFmtId="0" fontId="8" fillId="0" borderId="0" xfId="140" applyNumberFormat="1" applyFont="1" applyFill="1" applyBorder="1" applyAlignment="1">
      <alignment horizontal="left"/>
      <protection/>
    </xf>
    <xf numFmtId="0" fontId="37" fillId="0" borderId="0" xfId="140" applyNumberFormat="1" applyFont="1" applyFill="1">
      <alignment/>
      <protection/>
    </xf>
    <xf numFmtId="0" fontId="30" fillId="0" borderId="0" xfId="137" applyNumberFormat="1" applyFont="1" applyFill="1" applyAlignment="1">
      <alignment/>
      <protection/>
    </xf>
    <xf numFmtId="49" fontId="23" fillId="0" borderId="0" xfId="140" applyNumberFormat="1" applyFont="1" applyFill="1" applyAlignment="1">
      <alignment wrapText="1"/>
      <protection/>
    </xf>
    <xf numFmtId="49" fontId="0" fillId="0" borderId="0" xfId="140" applyNumberFormat="1" applyFont="1" applyFill="1" applyBorder="1" applyAlignment="1">
      <alignment/>
      <protection/>
    </xf>
    <xf numFmtId="0" fontId="7" fillId="0" borderId="0" xfId="140" applyNumberFormat="1" applyFont="1" applyFill="1" applyBorder="1" applyAlignment="1">
      <alignment/>
      <protection/>
    </xf>
    <xf numFmtId="0" fontId="30" fillId="0" borderId="0" xfId="140" applyNumberFormat="1" applyFont="1" applyFill="1">
      <alignment/>
      <protection/>
    </xf>
    <xf numFmtId="0" fontId="34" fillId="0" borderId="0" xfId="140" applyNumberFormat="1" applyFont="1" applyFill="1" applyBorder="1" applyAlignment="1">
      <alignment wrapText="1"/>
      <protection/>
    </xf>
    <xf numFmtId="0" fontId="78" fillId="0" borderId="0" xfId="140" applyNumberFormat="1" applyFont="1" applyFill="1" applyAlignment="1">
      <alignment horizontal="center"/>
      <protection/>
    </xf>
    <xf numFmtId="0" fontId="37" fillId="0" borderId="0" xfId="140" applyNumberFormat="1" applyFont="1" applyFill="1" applyBorder="1" applyAlignment="1">
      <alignment wrapText="1"/>
      <protection/>
    </xf>
    <xf numFmtId="0" fontId="24" fillId="0" borderId="13" xfId="140" applyNumberFormat="1" applyFont="1" applyFill="1" applyBorder="1" applyAlignment="1">
      <alignment horizontal="center"/>
      <protection/>
    </xf>
    <xf numFmtId="3" fontId="24" fillId="0" borderId="0" xfId="140" applyNumberFormat="1" applyFont="1" applyFill="1" applyBorder="1" applyAlignment="1">
      <alignment horizontal="center"/>
      <protection/>
    </xf>
    <xf numFmtId="49" fontId="10" fillId="0" borderId="0" xfId="140" applyNumberFormat="1" applyFont="1" applyFill="1" applyBorder="1" applyAlignment="1">
      <alignment/>
      <protection/>
    </xf>
    <xf numFmtId="0" fontId="24" fillId="0" borderId="0" xfId="140" applyNumberFormat="1" applyFont="1" applyFill="1" applyBorder="1" applyAlignment="1">
      <alignment horizontal="center"/>
      <protection/>
    </xf>
    <xf numFmtId="49" fontId="32" fillId="0" borderId="0" xfId="140" applyNumberFormat="1" applyFont="1" applyFill="1" applyBorder="1" applyAlignment="1">
      <alignment horizontal="center"/>
      <protection/>
    </xf>
    <xf numFmtId="49" fontId="32" fillId="0" borderId="0" xfId="140" applyNumberFormat="1" applyFont="1" applyFill="1" applyBorder="1">
      <alignment/>
      <protection/>
    </xf>
    <xf numFmtId="0" fontId="0" fillId="0" borderId="0" xfId="140" applyFont="1" applyFill="1" applyAlignment="1">
      <alignment/>
      <protection/>
    </xf>
    <xf numFmtId="49" fontId="0" fillId="0" borderId="0" xfId="0" applyNumberFormat="1" applyFill="1" applyAlignment="1">
      <alignment/>
    </xf>
    <xf numFmtId="49" fontId="0" fillId="0" borderId="0" xfId="140" applyNumberFormat="1" applyFont="1" applyFill="1" applyAlignment="1">
      <alignment/>
      <protection/>
    </xf>
    <xf numFmtId="0" fontId="23" fillId="0" borderId="13" xfId="140" applyFont="1" applyFill="1" applyBorder="1" applyAlignment="1">
      <alignment/>
      <protection/>
    </xf>
    <xf numFmtId="0" fontId="18" fillId="0" borderId="13" xfId="14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32" fillId="0" borderId="0" xfId="0" applyNumberFormat="1" applyFont="1" applyAlignment="1">
      <alignment/>
    </xf>
    <xf numFmtId="2" fontId="132" fillId="0" borderId="0" xfId="0" applyNumberFormat="1" applyFont="1" applyAlignment="1">
      <alignment horizontal="left"/>
    </xf>
    <xf numFmtId="0" fontId="132" fillId="0" borderId="0" xfId="0" applyNumberFormat="1" applyFont="1" applyAlignment="1">
      <alignment/>
    </xf>
    <xf numFmtId="0" fontId="132" fillId="0" borderId="0" xfId="0" applyFont="1" applyBorder="1" applyAlignment="1">
      <alignment/>
    </xf>
    <xf numFmtId="0" fontId="25" fillId="26" borderId="11" xfId="0" applyFont="1" applyFill="1" applyBorder="1" applyAlignment="1">
      <alignment wrapText="1"/>
    </xf>
    <xf numFmtId="49" fontId="11" fillId="20" borderId="11" xfId="0" applyNumberFormat="1" applyFont="1" applyFill="1" applyBorder="1" applyAlignment="1" applyProtection="1">
      <alignment horizontal="center" vertical="center"/>
      <protection/>
    </xf>
    <xf numFmtId="49" fontId="11" fillId="20" borderId="11" xfId="0" applyNumberFormat="1" applyFont="1" applyFill="1" applyBorder="1" applyAlignment="1" applyProtection="1">
      <alignment vertical="center"/>
      <protection/>
    </xf>
    <xf numFmtId="49" fontId="10" fillId="24" borderId="11" xfId="0" applyNumberFormat="1" applyFont="1" applyFill="1" applyBorder="1" applyAlignment="1" applyProtection="1">
      <alignment horizontal="center" vertical="center"/>
      <protection/>
    </xf>
    <xf numFmtId="0" fontId="10" fillId="0" borderId="11" xfId="0" applyFont="1" applyBorder="1" applyAlignment="1">
      <alignment horizontal="left" vertical="center"/>
    </xf>
    <xf numFmtId="49" fontId="10" fillId="24" borderId="31" xfId="0" applyNumberFormat="1" applyFont="1" applyFill="1" applyBorder="1" applyAlignment="1" applyProtection="1">
      <alignment horizontal="center" vertical="center"/>
      <protection/>
    </xf>
    <xf numFmtId="0" fontId="10" fillId="0" borderId="31" xfId="0" applyFont="1" applyBorder="1" applyAlignment="1">
      <alignment horizontal="left" vertical="center"/>
    </xf>
    <xf numFmtId="49" fontId="11" fillId="20" borderId="14" xfId="0" applyNumberFormat="1" applyFont="1" applyFill="1" applyBorder="1" applyAlignment="1" applyProtection="1">
      <alignment horizontal="center" vertical="center"/>
      <protection/>
    </xf>
    <xf numFmtId="49" fontId="11" fillId="20" borderId="14" xfId="0" applyNumberFormat="1" applyFont="1" applyFill="1" applyBorder="1" applyAlignment="1" applyProtection="1">
      <alignment vertical="center"/>
      <protection/>
    </xf>
    <xf numFmtId="4" fontId="26" fillId="20" borderId="14" xfId="0" applyNumberFormat="1" applyFont="1" applyFill="1" applyBorder="1" applyAlignment="1" applyProtection="1">
      <alignment horizontal="center" vertical="center"/>
      <protection/>
    </xf>
    <xf numFmtId="0" fontId="10" fillId="24" borderId="11" xfId="0" applyNumberFormat="1" applyFont="1" applyFill="1" applyBorder="1" applyAlignment="1" applyProtection="1">
      <alignment horizontal="center" vertical="center"/>
      <protection/>
    </xf>
    <xf numFmtId="0" fontId="10" fillId="24" borderId="31" xfId="0" applyNumberFormat="1" applyFont="1" applyFill="1" applyBorder="1" applyAlignment="1" applyProtection="1">
      <alignment horizontal="center" vertical="center"/>
      <protection/>
    </xf>
    <xf numFmtId="0" fontId="10" fillId="24" borderId="12" xfId="0" applyNumberFormat="1" applyFont="1" applyFill="1" applyBorder="1" applyAlignment="1" applyProtection="1">
      <alignment horizontal="center" vertical="center"/>
      <protection/>
    </xf>
    <xf numFmtId="41" fontId="12" fillId="20" borderId="11" xfId="139" applyNumberFormat="1" applyFont="1" applyFill="1" applyBorder="1" applyAlignment="1" applyProtection="1">
      <alignment horizontal="center" vertical="center"/>
      <protection hidden="1"/>
    </xf>
    <xf numFmtId="0" fontId="134" fillId="24" borderId="11" xfId="139" applyFont="1" applyFill="1" applyBorder="1" applyAlignment="1">
      <alignment horizontal="left" vertical="center"/>
      <protection/>
    </xf>
    <xf numFmtId="41" fontId="135" fillId="20" borderId="11" xfId="139" applyNumberFormat="1" applyFont="1" applyFill="1" applyBorder="1" applyAlignment="1" applyProtection="1">
      <alignment horizontal="center" vertical="center"/>
      <protection hidden="1"/>
    </xf>
    <xf numFmtId="41" fontId="133" fillId="0" borderId="11" xfId="139" applyNumberFormat="1" applyFont="1" applyBorder="1" applyAlignment="1" applyProtection="1">
      <alignment vertical="center"/>
      <protection hidden="1"/>
    </xf>
    <xf numFmtId="41" fontId="132" fillId="0" borderId="11" xfId="139" applyNumberFormat="1" applyFont="1" applyBorder="1" applyAlignment="1" applyProtection="1">
      <alignment vertical="center"/>
      <protection hidden="1"/>
    </xf>
    <xf numFmtId="0" fontId="11" fillId="20" borderId="14" xfId="139" applyFont="1" applyFill="1" applyBorder="1" applyAlignment="1">
      <alignment horizontal="center" vertical="center"/>
      <protection/>
    </xf>
    <xf numFmtId="0" fontId="134" fillId="20" borderId="11" xfId="139" applyFont="1" applyFill="1" applyBorder="1" applyAlignment="1">
      <alignment horizontal="left" vertical="center"/>
      <protection/>
    </xf>
    <xf numFmtId="49" fontId="136" fillId="24" borderId="11" xfId="0" applyNumberFormat="1" applyFont="1" applyFill="1" applyBorder="1" applyAlignment="1">
      <alignment horizontal="left" vertical="center"/>
    </xf>
    <xf numFmtId="41" fontId="132" fillId="0" borderId="11" xfId="139" applyNumberFormat="1" applyFont="1" applyBorder="1" applyAlignment="1" applyProtection="1">
      <alignment horizontal="center" vertical="center"/>
      <protection hidden="1"/>
    </xf>
    <xf numFmtId="0" fontId="10" fillId="0" borderId="31" xfId="139" applyFont="1" applyBorder="1" applyAlignment="1">
      <alignment horizontal="center" vertical="center"/>
      <protection/>
    </xf>
    <xf numFmtId="41" fontId="135" fillId="20" borderId="31" xfId="139" applyNumberFormat="1" applyFont="1" applyFill="1" applyBorder="1" applyAlignment="1" applyProtection="1">
      <alignment horizontal="center" vertical="center"/>
      <protection hidden="1"/>
    </xf>
    <xf numFmtId="41" fontId="132" fillId="0" borderId="31" xfId="139" applyNumberFormat="1" applyFont="1" applyBorder="1" applyAlignment="1" applyProtection="1">
      <alignment horizontal="center" vertical="center"/>
      <protection hidden="1"/>
    </xf>
    <xf numFmtId="41" fontId="132" fillId="0" borderId="31" xfId="139" applyNumberFormat="1" applyFont="1" applyBorder="1" applyAlignment="1" applyProtection="1">
      <alignment vertical="center"/>
      <protection hidden="1"/>
    </xf>
    <xf numFmtId="41" fontId="133" fillId="0" borderId="31" xfId="139" applyNumberFormat="1" applyFont="1" applyBorder="1" applyAlignment="1" applyProtection="1">
      <alignment vertical="center"/>
      <protection hidden="1"/>
    </xf>
    <xf numFmtId="0" fontId="134" fillId="0" borderId="11" xfId="139" applyFont="1" applyBorder="1" applyAlignment="1">
      <alignment horizontal="center" vertical="center"/>
      <protection/>
    </xf>
    <xf numFmtId="41" fontId="137" fillId="20" borderId="11" xfId="139" applyNumberFormat="1" applyFont="1" applyFill="1" applyBorder="1" applyAlignment="1" applyProtection="1">
      <alignment horizontal="center" vertical="center"/>
      <protection hidden="1"/>
    </xf>
    <xf numFmtId="41" fontId="132" fillId="24" borderId="11" xfId="139" applyNumberFormat="1" applyFont="1" applyFill="1" applyBorder="1" applyAlignment="1" applyProtection="1">
      <alignment vertical="center"/>
      <protection hidden="1"/>
    </xf>
    <xf numFmtId="0" fontId="134" fillId="20" borderId="14" xfId="139" applyFont="1" applyFill="1" applyBorder="1" applyAlignment="1">
      <alignment horizontal="center" vertical="center"/>
      <protection/>
    </xf>
    <xf numFmtId="0" fontId="136" fillId="0" borderId="11" xfId="139" applyFont="1" applyBorder="1" applyAlignment="1">
      <alignment horizontal="center" vertical="center"/>
      <protection/>
    </xf>
    <xf numFmtId="0" fontId="136" fillId="0" borderId="31" xfId="139" applyFont="1" applyBorder="1" applyAlignment="1">
      <alignment horizontal="center" vertical="center"/>
      <protection/>
    </xf>
    <xf numFmtId="41" fontId="137" fillId="20" borderId="31" xfId="139" applyNumberFormat="1" applyFont="1" applyFill="1" applyBorder="1" applyAlignment="1" applyProtection="1">
      <alignment horizontal="center" vertical="center"/>
      <protection hidden="1"/>
    </xf>
    <xf numFmtId="41" fontId="132" fillId="24" borderId="31" xfId="139" applyNumberFormat="1" applyFont="1" applyFill="1" applyBorder="1" applyAlignment="1" applyProtection="1">
      <alignment vertical="center"/>
      <protection hidden="1"/>
    </xf>
    <xf numFmtId="41" fontId="10" fillId="0" borderId="11" xfId="139" applyNumberFormat="1" applyFont="1" applyBorder="1" applyAlignment="1" applyProtection="1">
      <alignment vertical="center"/>
      <protection hidden="1"/>
    </xf>
    <xf numFmtId="0" fontId="11" fillId="20" borderId="11" xfId="139" applyFont="1" applyFill="1" applyBorder="1" applyAlignment="1">
      <alignment horizontal="left" vertical="center"/>
      <protection/>
    </xf>
    <xf numFmtId="41" fontId="11" fillId="20" borderId="11" xfId="139" applyNumberFormat="1" applyFont="1" applyFill="1" applyBorder="1" applyAlignment="1" applyProtection="1">
      <alignment horizontal="center" vertical="center"/>
      <protection hidden="1"/>
    </xf>
    <xf numFmtId="49" fontId="10" fillId="24" borderId="11" xfId="0" applyNumberFormat="1" applyFont="1" applyFill="1" applyBorder="1" applyAlignment="1">
      <alignment horizontal="left" vertical="center"/>
    </xf>
    <xf numFmtId="41" fontId="11" fillId="20" borderId="31" xfId="139" applyNumberFormat="1" applyFont="1" applyFill="1" applyBorder="1" applyAlignment="1" applyProtection="1">
      <alignment horizontal="center" vertical="center"/>
      <protection hidden="1"/>
    </xf>
    <xf numFmtId="41" fontId="10" fillId="0" borderId="31" xfId="139" applyNumberFormat="1" applyFont="1" applyBorder="1" applyAlignment="1" applyProtection="1">
      <alignment vertical="center"/>
      <protection hidden="1"/>
    </xf>
    <xf numFmtId="41" fontId="134" fillId="20" borderId="11" xfId="139" applyNumberFormat="1" applyFont="1" applyFill="1" applyBorder="1" applyAlignment="1" applyProtection="1">
      <alignment horizontal="center" vertical="center"/>
      <protection hidden="1"/>
    </xf>
    <xf numFmtId="41" fontId="136" fillId="0" borderId="11" xfId="139" applyNumberFormat="1" applyFont="1" applyBorder="1" applyAlignment="1" applyProtection="1">
      <alignment vertical="center"/>
      <protection hidden="1"/>
    </xf>
    <xf numFmtId="0" fontId="10" fillId="20" borderId="14" xfId="139" applyFont="1" applyFill="1" applyBorder="1" applyAlignment="1">
      <alignment horizontal="center" vertical="center"/>
      <protection/>
    </xf>
    <xf numFmtId="41" fontId="136" fillId="24" borderId="11" xfId="139" applyNumberFormat="1" applyFont="1" applyFill="1" applyBorder="1" applyAlignment="1" applyProtection="1">
      <alignment horizontal="center" vertical="center"/>
      <protection hidden="1"/>
    </xf>
    <xf numFmtId="41" fontId="98" fillId="24" borderId="11" xfId="139" applyNumberFormat="1" applyFont="1" applyFill="1" applyBorder="1" applyAlignment="1" applyProtection="1">
      <alignment vertical="center"/>
      <protection hidden="1"/>
    </xf>
    <xf numFmtId="0" fontId="11" fillId="20" borderId="11" xfId="139" applyFont="1" applyFill="1" applyBorder="1" applyAlignment="1">
      <alignment horizontal="center" vertical="center"/>
      <protection/>
    </xf>
    <xf numFmtId="49" fontId="10" fillId="0" borderId="11" xfId="0" applyNumberFormat="1" applyFont="1" applyBorder="1" applyAlignment="1">
      <alignment horizontal="center" vertical="center"/>
    </xf>
    <xf numFmtId="49" fontId="10" fillId="0" borderId="31" xfId="0" applyNumberFormat="1" applyFont="1" applyBorder="1" applyAlignment="1">
      <alignment horizontal="center" vertical="center"/>
    </xf>
    <xf numFmtId="37" fontId="11" fillId="20" borderId="14" xfId="139" applyNumberFormat="1" applyFont="1" applyFill="1" applyBorder="1" applyAlignment="1" applyProtection="1">
      <alignment horizontal="center" vertical="center"/>
      <protection hidden="1"/>
    </xf>
    <xf numFmtId="41" fontId="11" fillId="20" borderId="14" xfId="139" applyNumberFormat="1" applyFont="1" applyFill="1" applyBorder="1" applyAlignment="1" applyProtection="1">
      <alignment horizontal="center" vertical="center"/>
      <protection hidden="1"/>
    </xf>
    <xf numFmtId="49" fontId="136" fillId="0" borderId="11" xfId="0" applyNumberFormat="1" applyFont="1" applyBorder="1" applyAlignment="1">
      <alignment horizontal="center" vertical="center"/>
    </xf>
    <xf numFmtId="49" fontId="136" fillId="0" borderId="31" xfId="0" applyNumberFormat="1" applyFont="1" applyBorder="1" applyAlignment="1">
      <alignment horizontal="center" vertical="center"/>
    </xf>
    <xf numFmtId="41" fontId="17" fillId="20" borderId="28" xfId="139" applyNumberFormat="1" applyFont="1" applyFill="1" applyBorder="1" applyAlignment="1" applyProtection="1">
      <alignment horizontal="center" vertical="center" wrapText="1"/>
      <protection hidden="1"/>
    </xf>
    <xf numFmtId="41" fontId="11" fillId="20" borderId="28" xfId="139" applyNumberFormat="1" applyFont="1" applyFill="1" applyBorder="1" applyAlignment="1" applyProtection="1">
      <alignment horizontal="center" vertical="center" wrapText="1"/>
      <protection hidden="1"/>
    </xf>
    <xf numFmtId="49" fontId="134" fillId="0" borderId="11" xfId="139" applyNumberFormat="1" applyFont="1" applyBorder="1" applyAlignment="1">
      <alignment horizontal="center"/>
      <protection/>
    </xf>
    <xf numFmtId="49" fontId="134" fillId="24" borderId="11" xfId="139" applyNumberFormat="1" applyFont="1" applyFill="1" applyBorder="1" applyAlignment="1">
      <alignment horizontal="left"/>
      <protection/>
    </xf>
    <xf numFmtId="41" fontId="134" fillId="20" borderId="28" xfId="139" applyNumberFormat="1" applyFont="1" applyFill="1" applyBorder="1" applyAlignment="1" applyProtection="1">
      <alignment horizontal="center" vertical="center" wrapText="1"/>
      <protection hidden="1"/>
    </xf>
    <xf numFmtId="41" fontId="136" fillId="24" borderId="11" xfId="139" applyNumberFormat="1" applyFont="1" applyFill="1" applyBorder="1" applyAlignment="1" applyProtection="1">
      <alignment horizontal="left" vertical="center"/>
      <protection hidden="1"/>
    </xf>
    <xf numFmtId="41" fontId="134" fillId="20" borderId="14" xfId="139" applyNumberFormat="1" applyFont="1" applyFill="1" applyBorder="1" applyAlignment="1" applyProtection="1">
      <alignment horizontal="center" vertical="center"/>
      <protection hidden="1"/>
    </xf>
    <xf numFmtId="41" fontId="136" fillId="24" borderId="11" xfId="139" applyNumberFormat="1" applyFont="1" applyFill="1" applyBorder="1" applyAlignment="1" applyProtection="1">
      <alignment vertical="center"/>
      <protection hidden="1"/>
    </xf>
    <xf numFmtId="49" fontId="134" fillId="20" borderId="14" xfId="139" applyNumberFormat="1" applyFont="1" applyFill="1" applyBorder="1" applyAlignment="1">
      <alignment horizontal="center"/>
      <protection/>
    </xf>
    <xf numFmtId="49" fontId="134" fillId="20" borderId="11" xfId="139" applyNumberFormat="1" applyFont="1" applyFill="1" applyBorder="1" applyAlignment="1">
      <alignment horizontal="left"/>
      <protection/>
    </xf>
    <xf numFmtId="41" fontId="11" fillId="20" borderId="11" xfId="0" applyNumberFormat="1" applyFont="1" applyFill="1" applyBorder="1" applyAlignment="1" applyProtection="1">
      <alignment horizontal="center"/>
      <protection hidden="1"/>
    </xf>
    <xf numFmtId="0" fontId="135" fillId="0" borderId="11" xfId="0" applyNumberFormat="1" applyFont="1" applyBorder="1" applyAlignment="1">
      <alignment horizontal="center"/>
    </xf>
    <xf numFmtId="41" fontId="134" fillId="20" borderId="11" xfId="0" applyNumberFormat="1" applyFont="1" applyFill="1" applyBorder="1" applyAlignment="1" applyProtection="1">
      <alignment horizontal="center"/>
      <protection hidden="1"/>
    </xf>
    <xf numFmtId="41" fontId="136" fillId="0" borderId="11" xfId="0" applyNumberFormat="1" applyFont="1" applyFill="1" applyBorder="1" applyAlignment="1" applyProtection="1">
      <alignment horizontal="center"/>
      <protection hidden="1"/>
    </xf>
    <xf numFmtId="0" fontId="135" fillId="20" borderId="14" xfId="0" applyNumberFormat="1" applyFont="1" applyFill="1" applyBorder="1" applyAlignment="1">
      <alignment horizontal="center"/>
    </xf>
    <xf numFmtId="0" fontId="133" fillId="0" borderId="11" xfId="0" applyNumberFormat="1" applyFont="1" applyBorder="1" applyAlignment="1">
      <alignment horizontal="center"/>
    </xf>
    <xf numFmtId="0" fontId="133" fillId="0" borderId="31" xfId="0" applyNumberFormat="1" applyFont="1" applyBorder="1" applyAlignment="1">
      <alignment horizontal="center"/>
    </xf>
    <xf numFmtId="41" fontId="11" fillId="20" borderId="11" xfId="0" applyNumberFormat="1" applyFont="1" applyFill="1" applyBorder="1" applyAlignment="1" applyProtection="1">
      <alignment horizontal="center" vertical="center" wrapText="1"/>
      <protection hidden="1"/>
    </xf>
    <xf numFmtId="0" fontId="11" fillId="0" borderId="11" xfId="0" applyNumberFormat="1" applyFont="1" applyFill="1" applyBorder="1" applyAlignment="1">
      <alignment horizontal="center"/>
    </xf>
    <xf numFmtId="41" fontId="134" fillId="20" borderId="11" xfId="0" applyNumberFormat="1" applyFont="1" applyFill="1" applyBorder="1" applyAlignment="1" applyProtection="1">
      <alignment horizontal="center" vertical="center" wrapText="1"/>
      <protection hidden="1"/>
    </xf>
    <xf numFmtId="0" fontId="11" fillId="20" borderId="14" xfId="0" applyNumberFormat="1" applyFont="1" applyFill="1" applyBorder="1" applyAlignment="1">
      <alignment horizontal="center"/>
    </xf>
    <xf numFmtId="0" fontId="10" fillId="0" borderId="14" xfId="0" applyNumberFormat="1" applyFont="1" applyFill="1" applyBorder="1" applyAlignment="1">
      <alignment horizontal="center"/>
    </xf>
    <xf numFmtId="0" fontId="10" fillId="0" borderId="31" xfId="0" applyNumberFormat="1" applyFont="1" applyFill="1" applyBorder="1" applyAlignment="1">
      <alignment horizontal="center"/>
    </xf>
    <xf numFmtId="41" fontId="11" fillId="20" borderId="11" xfId="0" applyNumberFormat="1" applyFont="1" applyFill="1" applyBorder="1" applyAlignment="1" applyProtection="1">
      <alignment horizontal="center" vertical="center"/>
      <protection hidden="1"/>
    </xf>
    <xf numFmtId="0" fontId="11" fillId="0" borderId="11" xfId="0" applyNumberFormat="1" applyFont="1" applyBorder="1" applyAlignment="1">
      <alignment horizontal="center"/>
    </xf>
    <xf numFmtId="0" fontId="10" fillId="0" borderId="11" xfId="0" applyNumberFormat="1" applyFont="1" applyBorder="1" applyAlignment="1">
      <alignment horizontal="center"/>
    </xf>
    <xf numFmtId="3" fontId="138" fillId="20" borderId="11" xfId="0" applyNumberFormat="1" applyFont="1" applyFill="1" applyBorder="1" applyAlignment="1" applyProtection="1">
      <alignment horizontal="center" vertical="center"/>
      <protection/>
    </xf>
    <xf numFmtId="4" fontId="139" fillId="20" borderId="11" xfId="0" applyNumberFormat="1" applyFont="1" applyFill="1" applyBorder="1" applyAlignment="1" applyProtection="1">
      <alignment horizontal="center" vertical="center"/>
      <protection/>
    </xf>
    <xf numFmtId="49" fontId="31" fillId="20" borderId="11" xfId="0" applyNumberFormat="1" applyFont="1" applyFill="1" applyBorder="1" applyAlignment="1" applyProtection="1">
      <alignment vertical="center"/>
      <protection/>
    </xf>
    <xf numFmtId="3" fontId="138" fillId="20" borderId="11" xfId="0" applyNumberFormat="1" applyFont="1" applyFill="1" applyBorder="1" applyAlignment="1">
      <alignment horizontal="center" vertical="center"/>
    </xf>
    <xf numFmtId="4" fontId="139" fillId="20" borderId="11" xfId="0" applyNumberFormat="1" applyFont="1" applyFill="1" applyBorder="1" applyAlignment="1">
      <alignment horizontal="center" vertical="center"/>
    </xf>
    <xf numFmtId="49" fontId="31" fillId="20" borderId="14" xfId="0" applyNumberFormat="1" applyFont="1" applyFill="1" applyBorder="1" applyAlignment="1" applyProtection="1">
      <alignment vertical="center"/>
      <protection/>
    </xf>
    <xf numFmtId="3" fontId="138" fillId="20" borderId="14" xfId="0" applyNumberFormat="1" applyFont="1" applyFill="1" applyBorder="1" applyAlignment="1" applyProtection="1">
      <alignment horizontal="center" vertical="center"/>
      <protection/>
    </xf>
    <xf numFmtId="4" fontId="139" fillId="20" borderId="14" xfId="0" applyNumberFormat="1" applyFont="1" applyFill="1" applyBorder="1" applyAlignment="1">
      <alignment horizontal="center" vertical="center"/>
    </xf>
    <xf numFmtId="3" fontId="138" fillId="20" borderId="14" xfId="0" applyNumberFormat="1" applyFont="1" applyFill="1" applyBorder="1" applyAlignment="1">
      <alignment horizontal="center" vertical="center"/>
    </xf>
    <xf numFmtId="41" fontId="10" fillId="0" borderId="11" xfId="140" applyNumberFormat="1" applyFont="1" applyFill="1" applyBorder="1" applyAlignment="1">
      <alignment horizontal="center" vertical="center"/>
      <protection/>
    </xf>
    <xf numFmtId="41" fontId="11" fillId="20" borderId="11" xfId="140" applyNumberFormat="1" applyFont="1" applyFill="1" applyBorder="1" applyAlignment="1">
      <alignment horizontal="center" vertical="center"/>
      <protection/>
    </xf>
    <xf numFmtId="41" fontId="24" fillId="0" borderId="11" xfId="140" applyNumberFormat="1" applyFont="1" applyFill="1" applyBorder="1" applyAlignment="1">
      <alignment horizontal="center" vertical="center"/>
      <protection/>
    </xf>
    <xf numFmtId="41" fontId="32" fillId="0" borderId="11" xfId="140" applyNumberFormat="1" applyFont="1" applyFill="1" applyBorder="1" applyAlignment="1">
      <alignment horizontal="center" vertical="center"/>
      <protection/>
    </xf>
    <xf numFmtId="49" fontId="17" fillId="0" borderId="11" xfId="0" applyNumberFormat="1" applyFont="1" applyFill="1" applyBorder="1" applyAlignment="1">
      <alignment horizontal="center" vertical="center" wrapText="1"/>
    </xf>
    <xf numFmtId="49" fontId="10" fillId="0" borderId="31" xfId="0" applyNumberFormat="1" applyFont="1" applyBorder="1" applyAlignment="1">
      <alignment horizontal="center"/>
    </xf>
    <xf numFmtId="49" fontId="8" fillId="0" borderId="31" xfId="0" applyNumberFormat="1" applyFont="1" applyBorder="1" applyAlignment="1">
      <alignment wrapText="1"/>
    </xf>
    <xf numFmtId="49" fontId="7" fillId="20" borderId="11" xfId="0" applyNumberFormat="1" applyFont="1" applyFill="1" applyBorder="1" applyAlignment="1">
      <alignment horizontal="center"/>
    </xf>
    <xf numFmtId="49" fontId="12" fillId="20" borderId="11" xfId="0" applyNumberFormat="1" applyFont="1" applyFill="1" applyBorder="1" applyAlignment="1">
      <alignment wrapText="1"/>
    </xf>
    <xf numFmtId="10" fontId="26" fillId="0" borderId="11" xfId="131" applyNumberFormat="1" applyFont="1" applyFill="1" applyBorder="1" applyAlignment="1">
      <alignment horizontal="right" vertical="center"/>
      <protection/>
    </xf>
    <xf numFmtId="49" fontId="17" fillId="20" borderId="11" xfId="0" applyNumberFormat="1" applyFont="1" applyFill="1" applyBorder="1" applyAlignment="1">
      <alignment horizontal="center" vertical="center"/>
    </xf>
    <xf numFmtId="2" fontId="11" fillId="20" borderId="11" xfId="0" applyNumberFormat="1" applyFont="1" applyFill="1" applyBorder="1" applyAlignment="1">
      <alignment horizontal="left" vertical="center"/>
    </xf>
    <xf numFmtId="1" fontId="10" fillId="0" borderId="11" xfId="0" applyNumberFormat="1" applyFont="1" applyFill="1" applyBorder="1" applyAlignment="1">
      <alignment horizontal="left" vertical="center"/>
    </xf>
    <xf numFmtId="49" fontId="17" fillId="25" borderId="11" xfId="0" applyNumberFormat="1" applyFont="1" applyFill="1" applyBorder="1" applyAlignment="1">
      <alignment horizontal="center" vertical="center"/>
    </xf>
    <xf numFmtId="1" fontId="11" fillId="25" borderId="11" xfId="0" applyNumberFormat="1" applyFont="1" applyFill="1" applyBorder="1" applyAlignment="1">
      <alignment horizontal="left" vertical="center"/>
    </xf>
    <xf numFmtId="1" fontId="11" fillId="20" borderId="11" xfId="0" applyNumberFormat="1" applyFont="1" applyFill="1" applyBorder="1" applyAlignment="1">
      <alignment horizontal="left" vertical="center"/>
    </xf>
    <xf numFmtId="2" fontId="11" fillId="0" borderId="11" xfId="0" applyNumberFormat="1" applyFont="1" applyFill="1" applyBorder="1" applyAlignment="1">
      <alignment horizontal="left" vertical="center" wrapText="1"/>
    </xf>
    <xf numFmtId="0" fontId="0" fillId="0" borderId="30" xfId="0" applyBorder="1" applyAlignment="1">
      <alignment/>
    </xf>
    <xf numFmtId="0" fontId="25" fillId="26" borderId="30" xfId="0" applyFont="1" applyFill="1" applyBorder="1" applyAlignment="1">
      <alignment wrapText="1"/>
    </xf>
    <xf numFmtId="49" fontId="17" fillId="20" borderId="14" xfId="0" applyNumberFormat="1" applyFont="1" applyFill="1" applyBorder="1" applyAlignment="1">
      <alignment horizontal="center" vertical="center"/>
    </xf>
    <xf numFmtId="2" fontId="11" fillId="20" borderId="14" xfId="0" applyNumberFormat="1" applyFont="1" applyFill="1" applyBorder="1" applyAlignment="1">
      <alignment horizontal="left" vertical="center"/>
    </xf>
    <xf numFmtId="1" fontId="11" fillId="20" borderId="17" xfId="0" applyNumberFormat="1" applyFont="1" applyFill="1" applyBorder="1" applyAlignment="1">
      <alignment horizontal="left" vertical="center"/>
    </xf>
    <xf numFmtId="2" fontId="17" fillId="0" borderId="17" xfId="0" applyNumberFormat="1" applyFont="1" applyFill="1" applyBorder="1" applyAlignment="1">
      <alignment horizontal="left" vertical="center" wrapText="1"/>
    </xf>
    <xf numFmtId="3" fontId="8" fillId="0" borderId="0" xfId="0" applyNumberFormat="1" applyFont="1" applyFill="1" applyAlignment="1">
      <alignment/>
    </xf>
    <xf numFmtId="3" fontId="0" fillId="0" borderId="0" xfId="0" applyNumberFormat="1" applyFont="1" applyFill="1" applyAlignment="1">
      <alignment/>
    </xf>
    <xf numFmtId="0" fontId="19" fillId="0" borderId="0" xfId="0" applyNumberFormat="1" applyFont="1" applyFill="1" applyAlignment="1">
      <alignment horizontal="center"/>
    </xf>
    <xf numFmtId="3" fontId="1" fillId="0" borderId="0" xfId="0" applyNumberFormat="1" applyFont="1" applyFill="1" applyAlignment="1">
      <alignment/>
    </xf>
    <xf numFmtId="3" fontId="12" fillId="0" borderId="0" xfId="0" applyNumberFormat="1" applyFont="1" applyAlignment="1">
      <alignment/>
    </xf>
    <xf numFmtId="3" fontId="0" fillId="0" borderId="0" xfId="0" applyNumberFormat="1" applyFont="1" applyAlignment="1">
      <alignment/>
    </xf>
    <xf numFmtId="3" fontId="8" fillId="0" borderId="0" xfId="0" applyNumberFormat="1" applyFont="1" applyAlignment="1">
      <alignment/>
    </xf>
    <xf numFmtId="3" fontId="3" fillId="0" borderId="0" xfId="0" applyNumberFormat="1" applyFont="1" applyFill="1" applyAlignment="1">
      <alignment/>
    </xf>
    <xf numFmtId="3" fontId="11" fillId="20" borderId="11" xfId="135" applyNumberFormat="1" applyFont="1" applyFill="1" applyBorder="1" applyAlignment="1" applyProtection="1">
      <alignment horizontal="right" vertical="center"/>
      <protection/>
    </xf>
    <xf numFmtId="49" fontId="11" fillId="0" borderId="11" xfId="0" applyNumberFormat="1" applyFont="1" applyFill="1" applyBorder="1" applyAlignment="1">
      <alignment horizontal="center" vertical="center" wrapText="1"/>
    </xf>
    <xf numFmtId="49" fontId="11" fillId="20" borderId="11" xfId="0" applyNumberFormat="1" applyFont="1" applyFill="1" applyBorder="1" applyAlignment="1">
      <alignment horizontal="center" vertical="center"/>
    </xf>
    <xf numFmtId="49" fontId="11" fillId="20" borderId="11" xfId="0" applyNumberFormat="1" applyFont="1" applyFill="1" applyBorder="1" applyAlignment="1">
      <alignment vertical="center" wrapText="1"/>
    </xf>
    <xf numFmtId="49" fontId="10" fillId="0" borderId="11" xfId="0" applyNumberFormat="1" applyFont="1" applyFill="1" applyBorder="1" applyAlignment="1">
      <alignment vertical="center" wrapText="1"/>
    </xf>
    <xf numFmtId="49" fontId="10" fillId="0" borderId="31" xfId="0" applyNumberFormat="1" applyFont="1" applyFill="1" applyBorder="1" applyAlignment="1">
      <alignment horizontal="center" vertical="center"/>
    </xf>
    <xf numFmtId="49" fontId="10" fillId="0" borderId="31" xfId="0" applyNumberFormat="1" applyFont="1" applyFill="1" applyBorder="1" applyAlignment="1">
      <alignment vertical="center" wrapText="1"/>
    </xf>
    <xf numFmtId="3" fontId="12" fillId="0" borderId="0" xfId="0" applyNumberFormat="1" applyFont="1" applyFill="1" applyAlignment="1">
      <alignment/>
    </xf>
    <xf numFmtId="3" fontId="0" fillId="0" borderId="0" xfId="0" applyNumberFormat="1" applyFont="1" applyFill="1" applyAlignment="1">
      <alignment/>
    </xf>
    <xf numFmtId="0" fontId="28" fillId="0" borderId="0" xfId="140" applyNumberFormat="1" applyFont="1" applyFill="1" applyAlignment="1">
      <alignment horizontal="center"/>
      <protection/>
    </xf>
    <xf numFmtId="49" fontId="11" fillId="0" borderId="11" xfId="0" applyNumberFormat="1" applyFont="1" applyFill="1" applyBorder="1" applyAlignment="1">
      <alignment horizontal="center" vertical="center"/>
    </xf>
    <xf numFmtId="2" fontId="11" fillId="20" borderId="11" xfId="0" applyNumberFormat="1" applyFont="1" applyFill="1" applyBorder="1" applyAlignment="1">
      <alignment horizontal="left" vertical="center" wrapText="1"/>
    </xf>
    <xf numFmtId="3" fontId="2" fillId="0" borderId="0" xfId="0" applyNumberFormat="1" applyFont="1" applyFill="1" applyAlignment="1">
      <alignment/>
    </xf>
    <xf numFmtId="3" fontId="0" fillId="0" borderId="0" xfId="0" applyNumberFormat="1" applyFont="1" applyFill="1" applyBorder="1" applyAlignment="1">
      <alignment/>
    </xf>
    <xf numFmtId="3" fontId="10" fillId="0" borderId="0" xfId="0" applyNumberFormat="1" applyFont="1" applyFill="1" applyBorder="1" applyAlignment="1">
      <alignment/>
    </xf>
    <xf numFmtId="49" fontId="10" fillId="0" borderId="11" xfId="0" applyNumberFormat="1" applyFont="1" applyFill="1" applyBorder="1" applyAlignment="1">
      <alignment wrapText="1"/>
    </xf>
    <xf numFmtId="49" fontId="11" fillId="20" borderId="11" xfId="0" applyNumberFormat="1" applyFont="1" applyFill="1" applyBorder="1" applyAlignment="1">
      <alignment horizontal="center"/>
    </xf>
    <xf numFmtId="49" fontId="11" fillId="20" borderId="11" xfId="0" applyNumberFormat="1" applyFont="1" applyFill="1" applyBorder="1" applyAlignment="1">
      <alignment wrapText="1"/>
    </xf>
    <xf numFmtId="49" fontId="10" fillId="20" borderId="11" xfId="0" applyNumberFormat="1" applyFont="1" applyFill="1" applyBorder="1" applyAlignment="1">
      <alignment horizontal="center"/>
    </xf>
    <xf numFmtId="49" fontId="10" fillId="0" borderId="31" xfId="0" applyNumberFormat="1" applyFont="1" applyFill="1" applyBorder="1" applyAlignment="1">
      <alignment horizontal="center"/>
    </xf>
    <xf numFmtId="49" fontId="10" fillId="0" borderId="31" xfId="0" applyNumberFormat="1" applyFont="1" applyFill="1" applyBorder="1" applyAlignment="1">
      <alignment wrapText="1"/>
    </xf>
    <xf numFmtId="0" fontId="28" fillId="0" borderId="0" xfId="0" applyNumberFormat="1" applyFont="1" applyFill="1" applyBorder="1" applyAlignment="1">
      <alignment horizontal="center"/>
    </xf>
    <xf numFmtId="0" fontId="19" fillId="0" borderId="0"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0" xfId="0" applyNumberFormat="1" applyFont="1" applyFill="1" applyBorder="1" applyAlignment="1">
      <alignment/>
    </xf>
    <xf numFmtId="0" fontId="20" fillId="0" borderId="0" xfId="0" applyNumberFormat="1" applyFont="1" applyFill="1" applyAlignment="1">
      <alignment/>
    </xf>
    <xf numFmtId="3" fontId="10" fillId="0" borderId="0" xfId="0" applyNumberFormat="1" applyFont="1" applyFill="1" applyAlignment="1">
      <alignment/>
    </xf>
    <xf numFmtId="3" fontId="11" fillId="0" borderId="0" xfId="0" applyNumberFormat="1" applyFont="1" applyFill="1" applyAlignment="1">
      <alignment/>
    </xf>
    <xf numFmtId="37" fontId="11" fillId="20" borderId="11" xfId="0" applyNumberFormat="1" applyFont="1" applyFill="1" applyBorder="1" applyAlignment="1">
      <alignment horizontal="right" vertical="center"/>
    </xf>
    <xf numFmtId="37" fontId="11" fillId="20" borderId="12" xfId="0" applyNumberFormat="1" applyFont="1" applyFill="1" applyBorder="1" applyAlignment="1">
      <alignment horizontal="right" vertical="center"/>
    </xf>
    <xf numFmtId="37" fontId="10" fillId="24" borderId="12" xfId="0" applyNumberFormat="1" applyFont="1" applyFill="1" applyBorder="1" applyAlignment="1">
      <alignment horizontal="right" vertical="center"/>
    </xf>
    <xf numFmtId="37" fontId="10" fillId="24" borderId="11" xfId="0" applyNumberFormat="1" applyFont="1" applyFill="1" applyBorder="1" applyAlignment="1">
      <alignment horizontal="right" vertical="center"/>
    </xf>
    <xf numFmtId="37" fontId="11" fillId="20" borderId="17" xfId="0" applyNumberFormat="1" applyFont="1" applyFill="1" applyBorder="1" applyAlignment="1">
      <alignment horizontal="right" vertical="center"/>
    </xf>
    <xf numFmtId="37" fontId="11" fillId="20" borderId="14" xfId="0" applyNumberFormat="1" applyFont="1" applyFill="1" applyBorder="1" applyAlignment="1">
      <alignment horizontal="right" vertical="center"/>
    </xf>
    <xf numFmtId="37" fontId="10" fillId="24" borderId="14" xfId="0" applyNumberFormat="1" applyFont="1" applyFill="1" applyBorder="1" applyAlignment="1">
      <alignment horizontal="right" vertical="center"/>
    </xf>
    <xf numFmtId="0" fontId="20" fillId="0" borderId="0" xfId="0" applyFont="1" applyFill="1" applyBorder="1" applyAlignment="1">
      <alignment/>
    </xf>
    <xf numFmtId="0" fontId="28" fillId="0" borderId="10" xfId="0" applyFont="1" applyFill="1" applyBorder="1" applyAlignment="1">
      <alignment/>
    </xf>
    <xf numFmtId="0" fontId="20" fillId="0" borderId="0" xfId="0" applyFont="1" applyFill="1" applyAlignment="1">
      <alignment/>
    </xf>
    <xf numFmtId="0" fontId="28" fillId="0" borderId="10" xfId="0" applyFont="1" applyFill="1" applyBorder="1" applyAlignment="1">
      <alignment wrapText="1"/>
    </xf>
    <xf numFmtId="0" fontId="20" fillId="0" borderId="0" xfId="0" applyNumberFormat="1" applyFont="1" applyFill="1" applyAlignment="1">
      <alignment/>
    </xf>
    <xf numFmtId="0" fontId="20" fillId="0" borderId="0" xfId="0" applyNumberFormat="1" applyFont="1" applyFill="1" applyBorder="1" applyAlignment="1">
      <alignment wrapText="1"/>
    </xf>
    <xf numFmtId="0" fontId="19" fillId="0" borderId="0" xfId="0" applyNumberFormat="1" applyFont="1" applyFill="1" applyBorder="1" applyAlignment="1">
      <alignment horizontal="center" wrapText="1"/>
    </xf>
    <xf numFmtId="0" fontId="20" fillId="0" borderId="0" xfId="0" applyNumberFormat="1" applyFont="1" applyFill="1" applyAlignment="1">
      <alignment wrapText="1"/>
    </xf>
    <xf numFmtId="0" fontId="20" fillId="0" borderId="0" xfId="0" applyNumberFormat="1" applyFont="1" applyFill="1" applyBorder="1" applyAlignment="1">
      <alignment/>
    </xf>
    <xf numFmtId="3" fontId="19" fillId="0" borderId="0" xfId="0" applyNumberFormat="1" applyFont="1" applyFill="1" applyAlignment="1">
      <alignment horizontal="center"/>
    </xf>
    <xf numFmtId="0" fontId="93" fillId="0" borderId="0" xfId="0" applyNumberFormat="1" applyFont="1" applyFill="1" applyAlignment="1">
      <alignment/>
    </xf>
    <xf numFmtId="3" fontId="31" fillId="0" borderId="0" xfId="0" applyNumberFormat="1" applyFont="1" applyFill="1" applyAlignment="1">
      <alignment horizontal="center"/>
    </xf>
    <xf numFmtId="49" fontId="28" fillId="0" borderId="0" xfId="0" applyNumberFormat="1" applyFont="1" applyBorder="1" applyAlignment="1">
      <alignment horizontal="left" wrapText="1"/>
    </xf>
    <xf numFmtId="0" fontId="28" fillId="0" borderId="0" xfId="0" applyNumberFormat="1" applyFont="1" applyBorder="1" applyAlignment="1">
      <alignment horizontal="center" wrapText="1"/>
    </xf>
    <xf numFmtId="0" fontId="19" fillId="0" borderId="0" xfId="0" applyNumberFormat="1" applyFont="1" applyBorder="1" applyAlignment="1">
      <alignment horizontal="center"/>
    </xf>
    <xf numFmtId="0" fontId="20" fillId="0" borderId="0" xfId="0" applyFont="1" applyAlignment="1">
      <alignment horizontal="center"/>
    </xf>
    <xf numFmtId="2" fontId="19" fillId="0" borderId="0" xfId="0" applyNumberFormat="1" applyFont="1" applyAlignment="1">
      <alignment horizontal="center"/>
    </xf>
    <xf numFmtId="49" fontId="20" fillId="0" borderId="0" xfId="0" applyNumberFormat="1" applyFont="1" applyBorder="1" applyAlignment="1">
      <alignment horizontal="center"/>
    </xf>
    <xf numFmtId="49" fontId="20" fillId="0" borderId="0" xfId="0" applyNumberFormat="1" applyFont="1" applyAlignment="1">
      <alignment/>
    </xf>
    <xf numFmtId="49" fontId="20" fillId="0" borderId="0" xfId="0" applyNumberFormat="1" applyFont="1" applyAlignment="1">
      <alignment horizontal="center"/>
    </xf>
    <xf numFmtId="0" fontId="19" fillId="0" borderId="0" xfId="0" applyNumberFormat="1" applyFont="1" applyAlignment="1">
      <alignment horizontal="left"/>
    </xf>
    <xf numFmtId="0" fontId="19" fillId="0" borderId="0" xfId="0" applyNumberFormat="1" applyFont="1" applyAlignment="1">
      <alignment horizontal="center"/>
    </xf>
    <xf numFmtId="49" fontId="19" fillId="0" borderId="0" xfId="0" applyNumberFormat="1" applyFont="1" applyAlignment="1">
      <alignment/>
    </xf>
    <xf numFmtId="0" fontId="28" fillId="0" borderId="10" xfId="0" applyNumberFormat="1" applyFont="1" applyFill="1" applyBorder="1" applyAlignment="1">
      <alignment horizontal="center" vertical="center" wrapText="1"/>
    </xf>
    <xf numFmtId="0" fontId="19" fillId="0" borderId="0" xfId="0" applyNumberFormat="1" applyFont="1" applyFill="1" applyAlignment="1">
      <alignment horizontal="center" vertical="center"/>
    </xf>
    <xf numFmtId="0" fontId="19" fillId="0" borderId="0" xfId="0" applyNumberFormat="1" applyFont="1" applyFill="1" applyBorder="1" applyAlignment="1">
      <alignment horizontal="center" vertical="center"/>
    </xf>
    <xf numFmtId="0" fontId="20" fillId="0" borderId="0" xfId="0" applyNumberFormat="1" applyFont="1" applyFill="1" applyAlignment="1">
      <alignment vertical="center"/>
    </xf>
    <xf numFmtId="0" fontId="20" fillId="0" borderId="0" xfId="0" applyNumberFormat="1" applyFont="1" applyFill="1" applyAlignment="1">
      <alignment horizontal="left" vertical="center"/>
    </xf>
    <xf numFmtId="0" fontId="20" fillId="0" borderId="0" xfId="0" applyNumberFormat="1" applyFont="1" applyFill="1" applyBorder="1" applyAlignment="1">
      <alignment vertical="center"/>
    </xf>
    <xf numFmtId="0" fontId="20" fillId="0" borderId="0" xfId="0" applyNumberFormat="1" applyFont="1" applyFill="1" applyBorder="1" applyAlignment="1">
      <alignment horizontal="center" vertical="center"/>
    </xf>
    <xf numFmtId="0" fontId="20" fillId="0" borderId="0" xfId="0" applyNumberFormat="1" applyFont="1" applyFill="1" applyAlignment="1">
      <alignment horizontal="center" vertical="center"/>
    </xf>
    <xf numFmtId="0" fontId="19" fillId="0" borderId="0" xfId="0" applyNumberFormat="1" applyFont="1" applyFill="1" applyAlignment="1">
      <alignment vertical="center"/>
    </xf>
    <xf numFmtId="0" fontId="28" fillId="0" borderId="0" xfId="0" applyNumberFormat="1" applyFont="1" applyFill="1" applyBorder="1" applyAlignment="1">
      <alignment horizontal="center" vertical="center"/>
    </xf>
    <xf numFmtId="0" fontId="10" fillId="24" borderId="31" xfId="0" applyFont="1" applyFill="1" applyBorder="1" applyAlignment="1">
      <alignment horizontal="left" vertical="center"/>
    </xf>
    <xf numFmtId="0" fontId="10" fillId="0" borderId="12" xfId="0" applyFont="1" applyBorder="1" applyAlignment="1">
      <alignment horizontal="left" vertical="center"/>
    </xf>
    <xf numFmtId="0" fontId="10" fillId="24" borderId="11" xfId="0" applyFont="1" applyFill="1" applyBorder="1" applyAlignment="1">
      <alignment horizontal="left" vertical="center"/>
    </xf>
    <xf numFmtId="0" fontId="10" fillId="24" borderId="30" xfId="0" applyFont="1" applyFill="1" applyBorder="1" applyAlignment="1">
      <alignment horizontal="left" vertical="center"/>
    </xf>
    <xf numFmtId="0" fontId="20" fillId="0" borderId="0" xfId="0" applyNumberFormat="1" applyFont="1" applyFill="1" applyBorder="1" applyAlignment="1">
      <alignment horizontal="center" wrapText="1"/>
    </xf>
    <xf numFmtId="0" fontId="19" fillId="0" borderId="0" xfId="0" applyNumberFormat="1" applyFont="1" applyFill="1" applyBorder="1" applyAlignment="1">
      <alignment/>
    </xf>
    <xf numFmtId="0" fontId="19" fillId="0" borderId="0" xfId="0" applyNumberFormat="1" applyFont="1" applyFill="1" applyAlignment="1">
      <alignment/>
    </xf>
    <xf numFmtId="0" fontId="13" fillId="0" borderId="11" xfId="0" applyFont="1" applyBorder="1" applyAlignment="1">
      <alignment horizontal="left" vertical="center"/>
    </xf>
    <xf numFmtId="3" fontId="138" fillId="24" borderId="11" xfId="0" applyNumberFormat="1" applyFont="1" applyFill="1" applyBorder="1" applyAlignment="1" applyProtection="1">
      <alignment horizontal="center" vertical="center"/>
      <protection/>
    </xf>
    <xf numFmtId="3" fontId="138" fillId="25" borderId="11" xfId="0" applyNumberFormat="1" applyFont="1" applyFill="1" applyBorder="1" applyAlignment="1" applyProtection="1">
      <alignment horizontal="center" vertical="center"/>
      <protection/>
    </xf>
    <xf numFmtId="3" fontId="138" fillId="24" borderId="11" xfId="147" applyNumberFormat="1" applyFont="1" applyFill="1" applyBorder="1" applyAlignment="1" applyProtection="1">
      <alignment horizontal="center" vertical="center"/>
      <protection/>
    </xf>
    <xf numFmtId="3" fontId="138" fillId="5" borderId="11" xfId="0" applyNumberFormat="1" applyFont="1" applyFill="1" applyBorder="1" applyAlignment="1">
      <alignment horizontal="center" vertical="center"/>
    </xf>
    <xf numFmtId="4" fontId="139" fillId="24" borderId="11" xfId="0" applyNumberFormat="1" applyFont="1" applyFill="1" applyBorder="1" applyAlignment="1">
      <alignment horizontal="center" vertical="center"/>
    </xf>
    <xf numFmtId="0" fontId="13" fillId="0" borderId="11" xfId="0" applyFont="1" applyFill="1" applyBorder="1" applyAlignment="1">
      <alignment horizontal="left" vertical="center"/>
    </xf>
    <xf numFmtId="0" fontId="13" fillId="0" borderId="31" xfId="0" applyFont="1" applyBorder="1" applyAlignment="1">
      <alignment horizontal="left" vertical="center"/>
    </xf>
    <xf numFmtId="3" fontId="138" fillId="20" borderId="31" xfId="0" applyNumberFormat="1" applyFont="1" applyFill="1" applyBorder="1" applyAlignment="1" applyProtection="1">
      <alignment horizontal="center" vertical="center"/>
      <protection/>
    </xf>
    <xf numFmtId="3" fontId="138" fillId="24" borderId="31" xfId="0" applyNumberFormat="1" applyFont="1" applyFill="1" applyBorder="1" applyAlignment="1" applyProtection="1">
      <alignment horizontal="center" vertical="center"/>
      <protection/>
    </xf>
    <xf numFmtId="3" fontId="138" fillId="25" borderId="31" xfId="0" applyNumberFormat="1" applyFont="1" applyFill="1" applyBorder="1" applyAlignment="1" applyProtection="1">
      <alignment horizontal="center" vertical="center"/>
      <protection/>
    </xf>
    <xf numFmtId="3" fontId="138" fillId="24" borderId="31" xfId="147" applyNumberFormat="1" applyFont="1" applyFill="1" applyBorder="1" applyAlignment="1" applyProtection="1">
      <alignment horizontal="center" vertical="center"/>
      <protection/>
    </xf>
    <xf numFmtId="3" fontId="138" fillId="5" borderId="31" xfId="0" applyNumberFormat="1" applyFont="1" applyFill="1" applyBorder="1" applyAlignment="1">
      <alignment horizontal="center" vertical="center"/>
    </xf>
    <xf numFmtId="4" fontId="139" fillId="24" borderId="31" xfId="0" applyNumberFormat="1" applyFont="1" applyFill="1" applyBorder="1" applyAlignment="1">
      <alignment horizontal="center" vertical="center"/>
    </xf>
    <xf numFmtId="0" fontId="13" fillId="24" borderId="31" xfId="0" applyFont="1" applyFill="1" applyBorder="1" applyAlignment="1">
      <alignment horizontal="left" vertical="center"/>
    </xf>
    <xf numFmtId="3" fontId="138" fillId="20" borderId="31" xfId="0" applyNumberFormat="1" applyFont="1" applyFill="1" applyBorder="1" applyAlignment="1">
      <alignment horizontal="center" vertical="center"/>
    </xf>
    <xf numFmtId="0" fontId="13" fillId="0" borderId="12" xfId="0" applyFont="1" applyBorder="1" applyAlignment="1">
      <alignment horizontal="left" vertical="center"/>
    </xf>
    <xf numFmtId="0" fontId="13" fillId="24" borderId="11" xfId="0" applyFont="1" applyFill="1" applyBorder="1" applyAlignment="1">
      <alignment horizontal="left" vertical="center"/>
    </xf>
    <xf numFmtId="0" fontId="13" fillId="24" borderId="30" xfId="0" applyFont="1" applyFill="1" applyBorder="1" applyAlignment="1">
      <alignment horizontal="left" vertical="center"/>
    </xf>
    <xf numFmtId="49" fontId="11" fillId="24" borderId="11" xfId="0" applyNumberFormat="1" applyFont="1" applyFill="1" applyBorder="1" applyAlignment="1">
      <alignment horizontal="left" vertical="center"/>
    </xf>
    <xf numFmtId="41" fontId="11" fillId="25" borderId="11" xfId="0" applyNumberFormat="1" applyFont="1" applyFill="1" applyBorder="1" applyAlignment="1" applyProtection="1">
      <alignment horizontal="center" vertical="center"/>
      <protection hidden="1"/>
    </xf>
    <xf numFmtId="41" fontId="11" fillId="8" borderId="11" xfId="0" applyNumberFormat="1" applyFont="1" applyFill="1" applyBorder="1" applyAlignment="1" applyProtection="1">
      <alignment horizontal="center" vertical="center"/>
      <protection hidden="1"/>
    </xf>
    <xf numFmtId="41" fontId="10" fillId="0" borderId="11" xfId="96" applyNumberFormat="1" applyFont="1" applyBorder="1" applyAlignment="1" applyProtection="1">
      <alignment horizontal="center" vertical="center"/>
      <protection hidden="1"/>
    </xf>
    <xf numFmtId="49" fontId="11" fillId="20" borderId="11" xfId="0" applyNumberFormat="1" applyFont="1" applyFill="1" applyBorder="1" applyAlignment="1">
      <alignment horizontal="left" vertical="center"/>
    </xf>
    <xf numFmtId="0" fontId="20" fillId="0" borderId="0" xfId="137" applyNumberFormat="1" applyFont="1" applyFill="1" applyBorder="1" applyAlignment="1">
      <alignment horizontal="center" wrapText="1"/>
      <protection/>
    </xf>
    <xf numFmtId="0" fontId="93" fillId="0" borderId="0" xfId="137" applyNumberFormat="1" applyFont="1" applyFill="1" applyBorder="1">
      <alignment/>
      <protection/>
    </xf>
    <xf numFmtId="0" fontId="19" fillId="0" borderId="0" xfId="137" applyNumberFormat="1" applyFont="1" applyFill="1" applyBorder="1" applyAlignment="1">
      <alignment horizontal="center" wrapText="1"/>
      <protection/>
    </xf>
    <xf numFmtId="0" fontId="140" fillId="0" borderId="0" xfId="137" applyNumberFormat="1" applyFont="1" applyFill="1" applyBorder="1">
      <alignment/>
      <protection/>
    </xf>
    <xf numFmtId="0" fontId="20" fillId="0" borderId="0" xfId="137" applyNumberFormat="1" applyFont="1" applyFill="1">
      <alignment/>
      <protection/>
    </xf>
    <xf numFmtId="0" fontId="20" fillId="0" borderId="32" xfId="135" applyNumberFormat="1" applyFont="1" applyFill="1" applyBorder="1" applyAlignment="1" applyProtection="1">
      <alignment horizontal="center" vertical="center"/>
      <protection/>
    </xf>
    <xf numFmtId="49" fontId="11" fillId="0" borderId="11" xfId="0" applyNumberFormat="1" applyFont="1" applyFill="1" applyBorder="1" applyAlignment="1">
      <alignment horizontal="left" vertical="center"/>
    </xf>
    <xf numFmtId="41" fontId="10" fillId="0" borderId="11" xfId="0" applyNumberFormat="1" applyFont="1" applyFill="1" applyBorder="1" applyAlignment="1" applyProtection="1">
      <alignment horizontal="center" vertical="center" wrapText="1"/>
      <protection hidden="1"/>
    </xf>
    <xf numFmtId="49" fontId="17" fillId="20" borderId="11" xfId="0" applyNumberFormat="1" applyFont="1" applyFill="1" applyBorder="1" applyAlignment="1">
      <alignment horizontal="left" vertical="center"/>
    </xf>
    <xf numFmtId="41" fontId="11" fillId="20" borderId="31" xfId="0" applyNumberFormat="1" applyFont="1" applyFill="1" applyBorder="1" applyAlignment="1" applyProtection="1">
      <alignment horizontal="center"/>
      <protection hidden="1"/>
    </xf>
    <xf numFmtId="41" fontId="10" fillId="0" borderId="31" xfId="0" applyNumberFormat="1" applyFont="1" applyFill="1" applyBorder="1" applyAlignment="1" applyProtection="1">
      <alignment horizontal="center" vertical="center" wrapText="1"/>
      <protection hidden="1"/>
    </xf>
    <xf numFmtId="41" fontId="11" fillId="20" borderId="31" xfId="0" applyNumberFormat="1" applyFont="1" applyFill="1" applyBorder="1" applyAlignment="1" applyProtection="1">
      <alignment horizontal="center" vertical="center" wrapText="1"/>
      <protection hidden="1"/>
    </xf>
    <xf numFmtId="41" fontId="10" fillId="20" borderId="11" xfId="0" applyNumberFormat="1" applyFont="1" applyFill="1" applyBorder="1" applyAlignment="1" applyProtection="1">
      <alignment horizontal="center" vertical="center" wrapText="1"/>
      <protection hidden="1"/>
    </xf>
    <xf numFmtId="41" fontId="10" fillId="0" borderId="11" xfId="0" applyNumberFormat="1" applyFont="1" applyFill="1" applyBorder="1" applyAlignment="1" applyProtection="1">
      <alignment/>
      <protection hidden="1"/>
    </xf>
    <xf numFmtId="41" fontId="10" fillId="0" borderId="31" xfId="0" applyNumberFormat="1" applyFont="1" applyFill="1" applyBorder="1" applyAlignment="1" applyProtection="1">
      <alignment/>
      <protection hidden="1"/>
    </xf>
    <xf numFmtId="41" fontId="10" fillId="0" borderId="11" xfId="0" applyNumberFormat="1" applyFont="1" applyFill="1" applyBorder="1" applyAlignment="1" applyProtection="1">
      <alignment horizontal="center"/>
      <protection hidden="1"/>
    </xf>
    <xf numFmtId="41" fontId="10" fillId="0" borderId="31" xfId="0" applyNumberFormat="1" applyFont="1" applyFill="1" applyBorder="1" applyAlignment="1" applyProtection="1">
      <alignment horizontal="center"/>
      <protection hidden="1"/>
    </xf>
    <xf numFmtId="49" fontId="20" fillId="0" borderId="0" xfId="137" applyNumberFormat="1" applyFont="1" applyFill="1" applyAlignment="1">
      <alignment wrapText="1"/>
      <protection/>
    </xf>
    <xf numFmtId="49" fontId="19" fillId="0" borderId="0" xfId="137" applyNumberFormat="1" applyFont="1" applyFill="1" applyAlignment="1">
      <alignment/>
      <protection/>
    </xf>
    <xf numFmtId="49" fontId="20" fillId="0" borderId="0" xfId="137" applyNumberFormat="1" applyFont="1" applyFill="1">
      <alignment/>
      <protection/>
    </xf>
    <xf numFmtId="0" fontId="20" fillId="0" borderId="0" xfId="140" applyNumberFormat="1" applyFont="1" applyFill="1" applyBorder="1" applyAlignment="1">
      <alignment/>
      <protection/>
    </xf>
    <xf numFmtId="0" fontId="19" fillId="0" borderId="0" xfId="140" applyNumberFormat="1" applyFont="1" applyFill="1" applyBorder="1" applyAlignment="1">
      <alignment horizontal="center" wrapText="1"/>
      <protection/>
    </xf>
    <xf numFmtId="0" fontId="19" fillId="0" borderId="0" xfId="140" applyNumberFormat="1" applyFont="1" applyFill="1" applyBorder="1" applyAlignment="1">
      <alignment/>
      <protection/>
    </xf>
    <xf numFmtId="0" fontId="19" fillId="0" borderId="0" xfId="140" applyNumberFormat="1" applyFont="1" applyFill="1" applyBorder="1" applyAlignment="1">
      <alignment horizontal="center"/>
      <protection/>
    </xf>
    <xf numFmtId="0" fontId="20" fillId="0" borderId="0" xfId="140" applyNumberFormat="1" applyFont="1" applyFill="1" applyAlignment="1">
      <alignment horizontal="center"/>
      <protection/>
    </xf>
    <xf numFmtId="0" fontId="20" fillId="0" borderId="0" xfId="140" applyNumberFormat="1" applyFont="1" applyFill="1">
      <alignment/>
      <protection/>
    </xf>
    <xf numFmtId="0" fontId="111" fillId="0" borderId="0" xfId="140" applyNumberFormat="1" applyFont="1" applyFill="1" applyAlignment="1">
      <alignment horizontal="center"/>
      <protection/>
    </xf>
    <xf numFmtId="41" fontId="10" fillId="20" borderId="28" xfId="139" applyNumberFormat="1" applyFont="1" applyFill="1" applyBorder="1" applyAlignment="1" applyProtection="1">
      <alignment horizontal="center" vertical="center" wrapText="1"/>
      <protection hidden="1"/>
    </xf>
    <xf numFmtId="41" fontId="10" fillId="20" borderId="14" xfId="139" applyNumberFormat="1" applyFont="1" applyFill="1" applyBorder="1" applyAlignment="1" applyProtection="1">
      <alignment horizontal="center" vertical="center"/>
      <protection hidden="1"/>
    </xf>
    <xf numFmtId="41" fontId="10" fillId="24" borderId="11" xfId="139" applyNumberFormat="1" applyFont="1" applyFill="1" applyBorder="1" applyAlignment="1" applyProtection="1">
      <alignment vertical="center"/>
      <protection hidden="1"/>
    </xf>
    <xf numFmtId="41" fontId="10" fillId="20" borderId="11" xfId="139" applyNumberFormat="1" applyFont="1" applyFill="1" applyBorder="1" applyAlignment="1" applyProtection="1">
      <alignment horizontal="center" vertical="center"/>
      <protection hidden="1"/>
    </xf>
    <xf numFmtId="41" fontId="10" fillId="24" borderId="16" xfId="139" applyNumberFormat="1" applyFont="1" applyFill="1" applyBorder="1" applyAlignment="1" applyProtection="1">
      <alignment horizontal="left" vertical="center"/>
      <protection hidden="1"/>
    </xf>
    <xf numFmtId="41" fontId="10" fillId="20" borderId="31" xfId="139" applyNumberFormat="1" applyFont="1" applyFill="1" applyBorder="1" applyAlignment="1" applyProtection="1">
      <alignment horizontal="center" vertical="center" wrapText="1"/>
      <protection hidden="1"/>
    </xf>
    <xf numFmtId="41" fontId="10" fillId="24" borderId="33" xfId="139" applyNumberFormat="1" applyFont="1" applyFill="1" applyBorder="1" applyAlignment="1" applyProtection="1">
      <alignment horizontal="left" vertical="center"/>
      <protection hidden="1"/>
    </xf>
    <xf numFmtId="41" fontId="10" fillId="20" borderId="31" xfId="139" applyNumberFormat="1" applyFont="1" applyFill="1" applyBorder="1" applyAlignment="1" applyProtection="1">
      <alignment horizontal="center" vertical="center"/>
      <protection hidden="1"/>
    </xf>
    <xf numFmtId="41" fontId="10" fillId="24" borderId="31" xfId="139" applyNumberFormat="1" applyFont="1" applyFill="1" applyBorder="1" applyAlignment="1" applyProtection="1">
      <alignment vertical="center"/>
      <protection hidden="1"/>
    </xf>
    <xf numFmtId="41" fontId="10" fillId="20" borderId="34" xfId="139" applyNumberFormat="1" applyFont="1" applyFill="1" applyBorder="1" applyAlignment="1" applyProtection="1">
      <alignment horizontal="center" vertical="center"/>
      <protection hidden="1"/>
    </xf>
    <xf numFmtId="41" fontId="10" fillId="24" borderId="11" xfId="139" applyNumberFormat="1" applyFont="1" applyFill="1" applyBorder="1" applyAlignment="1" applyProtection="1">
      <alignment horizontal="center" vertical="center"/>
      <protection hidden="1"/>
    </xf>
    <xf numFmtId="41" fontId="13" fillId="24" borderId="11" xfId="139" applyNumberFormat="1" applyFont="1" applyFill="1" applyBorder="1" applyAlignment="1" applyProtection="1">
      <alignment horizontal="center" vertical="center"/>
      <protection hidden="1"/>
    </xf>
    <xf numFmtId="41" fontId="31" fillId="20" borderId="11" xfId="139" applyNumberFormat="1" applyFont="1" applyFill="1" applyBorder="1" applyAlignment="1" applyProtection="1">
      <alignment horizontal="center" vertical="center"/>
      <protection hidden="1"/>
    </xf>
    <xf numFmtId="41" fontId="10" fillId="0" borderId="11" xfId="139" applyNumberFormat="1" applyFont="1" applyBorder="1" applyAlignment="1" applyProtection="1">
      <alignment horizontal="center" vertical="center"/>
      <protection hidden="1"/>
    </xf>
    <xf numFmtId="41" fontId="13" fillId="20" borderId="11" xfId="139" applyNumberFormat="1" applyFont="1" applyFill="1" applyBorder="1" applyAlignment="1" applyProtection="1">
      <alignment horizontal="center" vertical="center"/>
      <protection hidden="1"/>
    </xf>
    <xf numFmtId="41" fontId="32" fillId="0" borderId="11" xfId="139" applyNumberFormat="1" applyFont="1" applyBorder="1" applyAlignment="1" applyProtection="1">
      <alignment horizontal="center" vertical="center"/>
      <protection hidden="1"/>
    </xf>
    <xf numFmtId="41" fontId="10" fillId="24" borderId="16" xfId="139" applyNumberFormat="1" applyFont="1" applyFill="1" applyBorder="1" applyAlignment="1" applyProtection="1">
      <alignment horizontal="center" vertical="center"/>
      <protection hidden="1"/>
    </xf>
    <xf numFmtId="41" fontId="10" fillId="24" borderId="33" xfId="139" applyNumberFormat="1" applyFont="1" applyFill="1" applyBorder="1" applyAlignment="1" applyProtection="1">
      <alignment horizontal="center" vertical="center"/>
      <protection hidden="1"/>
    </xf>
    <xf numFmtId="41" fontId="13" fillId="24" borderId="31" xfId="139" applyNumberFormat="1" applyFont="1" applyFill="1" applyBorder="1" applyAlignment="1" applyProtection="1">
      <alignment horizontal="center" vertical="center"/>
      <protection hidden="1"/>
    </xf>
    <xf numFmtId="41" fontId="13" fillId="20" borderId="31" xfId="139" applyNumberFormat="1" applyFont="1" applyFill="1" applyBorder="1" applyAlignment="1" applyProtection="1">
      <alignment horizontal="center" vertical="center"/>
      <protection hidden="1"/>
    </xf>
    <xf numFmtId="41" fontId="10" fillId="0" borderId="31" xfId="139" applyNumberFormat="1" applyFont="1" applyBorder="1" applyAlignment="1" applyProtection="1">
      <alignment horizontal="center" vertical="center"/>
      <protection hidden="1"/>
    </xf>
    <xf numFmtId="41" fontId="32" fillId="0" borderId="31" xfId="139" applyNumberFormat="1" applyFont="1" applyBorder="1" applyAlignment="1" applyProtection="1">
      <alignment horizontal="center" vertical="center"/>
      <protection hidden="1"/>
    </xf>
    <xf numFmtId="0" fontId="28" fillId="0" borderId="0" xfId="140" applyNumberFormat="1" applyFont="1" applyFill="1" applyBorder="1" applyAlignment="1">
      <alignment/>
      <protection/>
    </xf>
    <xf numFmtId="0" fontId="142" fillId="0" borderId="0" xfId="140" applyFont="1" applyFill="1">
      <alignment/>
      <protection/>
    </xf>
    <xf numFmtId="0" fontId="20" fillId="0" borderId="0" xfId="140" applyFont="1" applyFill="1" applyBorder="1" applyAlignment="1">
      <alignment wrapText="1"/>
      <protection/>
    </xf>
    <xf numFmtId="0" fontId="111" fillId="0" borderId="0" xfId="140" applyFont="1" applyFill="1">
      <alignment/>
      <protection/>
    </xf>
    <xf numFmtId="49" fontId="20" fillId="0" borderId="0" xfId="140" applyNumberFormat="1" applyFont="1" applyFill="1" applyAlignment="1">
      <alignment horizontal="center"/>
      <protection/>
    </xf>
    <xf numFmtId="0" fontId="20" fillId="0" borderId="0" xfId="140" applyFont="1" applyFill="1">
      <alignment/>
      <protection/>
    </xf>
    <xf numFmtId="0" fontId="19" fillId="0" borderId="0" xfId="140" applyFont="1" applyFill="1" applyBorder="1" applyAlignment="1">
      <alignment horizontal="center"/>
      <protection/>
    </xf>
    <xf numFmtId="0" fontId="19" fillId="0" borderId="0" xfId="137" applyFont="1" applyFill="1" applyAlignment="1">
      <alignment/>
      <protection/>
    </xf>
    <xf numFmtId="49" fontId="111" fillId="0" borderId="0" xfId="140" applyNumberFormat="1" applyFont="1" applyFill="1">
      <alignment/>
      <protection/>
    </xf>
    <xf numFmtId="49" fontId="20" fillId="0" borderId="0" xfId="140" applyNumberFormat="1" applyFont="1" applyFill="1" applyBorder="1" applyAlignment="1">
      <alignment/>
      <protection/>
    </xf>
    <xf numFmtId="49" fontId="20" fillId="0" borderId="0" xfId="140" applyNumberFormat="1" applyFont="1" applyFill="1" applyBorder="1" applyAlignment="1">
      <alignment wrapText="1"/>
      <protection/>
    </xf>
    <xf numFmtId="49" fontId="19" fillId="0" borderId="0" xfId="140" applyNumberFormat="1" applyFont="1" applyFill="1" applyBorder="1" applyAlignment="1">
      <alignment/>
      <protection/>
    </xf>
    <xf numFmtId="49" fontId="20" fillId="0" borderId="0" xfId="140" applyNumberFormat="1" applyFont="1" applyFill="1">
      <alignment/>
      <protection/>
    </xf>
    <xf numFmtId="49" fontId="28" fillId="0" borderId="0" xfId="140" applyNumberFormat="1" applyFont="1" applyFill="1">
      <alignment/>
      <protection/>
    </xf>
    <xf numFmtId="0" fontId="28" fillId="0" borderId="0" xfId="140" applyNumberFormat="1" applyFont="1" applyFill="1">
      <alignment/>
      <protection/>
    </xf>
    <xf numFmtId="0" fontId="142" fillId="0" borderId="0" xfId="140" applyNumberFormat="1" applyFont="1" applyFill="1">
      <alignment/>
      <protection/>
    </xf>
    <xf numFmtId="41" fontId="10" fillId="0" borderId="11" xfId="139" applyNumberFormat="1" applyFont="1" applyFill="1" applyBorder="1" applyAlignment="1" applyProtection="1">
      <alignment vertical="center"/>
      <protection hidden="1"/>
    </xf>
    <xf numFmtId="41" fontId="32" fillId="0" borderId="11" xfId="139" applyNumberFormat="1" applyFont="1" applyFill="1" applyBorder="1" applyAlignment="1" applyProtection="1">
      <alignment vertical="center"/>
      <protection hidden="1"/>
    </xf>
    <xf numFmtId="41" fontId="32" fillId="0" borderId="11" xfId="139" applyNumberFormat="1" applyFont="1" applyBorder="1" applyAlignment="1" applyProtection="1">
      <alignment vertical="center"/>
      <protection hidden="1"/>
    </xf>
    <xf numFmtId="41" fontId="32" fillId="0" borderId="31" xfId="139" applyNumberFormat="1" applyFont="1" applyBorder="1" applyAlignment="1" applyProtection="1">
      <alignment vertical="center"/>
      <protection hidden="1"/>
    </xf>
    <xf numFmtId="0" fontId="39" fillId="0" borderId="0" xfId="140" applyNumberFormat="1" applyFont="1" applyFill="1" applyAlignment="1">
      <alignment horizontal="left"/>
      <protection/>
    </xf>
    <xf numFmtId="0" fontId="28" fillId="0" borderId="0" xfId="140" applyNumberFormat="1" applyFont="1" applyFill="1" applyAlignment="1">
      <alignment/>
      <protection/>
    </xf>
    <xf numFmtId="41" fontId="10" fillId="0" borderId="31" xfId="140" applyNumberFormat="1" applyFont="1" applyFill="1" applyBorder="1" applyAlignment="1">
      <alignment horizontal="center" vertical="center"/>
      <protection/>
    </xf>
    <xf numFmtId="41" fontId="31" fillId="20" borderId="11" xfId="139" applyNumberFormat="1" applyFont="1" applyFill="1" applyBorder="1" applyAlignment="1" applyProtection="1">
      <alignment horizontal="center"/>
      <protection hidden="1"/>
    </xf>
    <xf numFmtId="41" fontId="13" fillId="0" borderId="11" xfId="139" applyNumberFormat="1" applyFont="1" applyBorder="1" applyAlignment="1" applyProtection="1">
      <alignment vertical="center"/>
      <protection hidden="1"/>
    </xf>
    <xf numFmtId="41" fontId="31" fillId="20" borderId="31" xfId="139" applyNumberFormat="1" applyFont="1" applyFill="1" applyBorder="1" applyAlignment="1" applyProtection="1">
      <alignment horizontal="center" vertical="center"/>
      <protection hidden="1"/>
    </xf>
    <xf numFmtId="41" fontId="13" fillId="0" borderId="31" xfId="139" applyNumberFormat="1" applyFont="1" applyBorder="1" applyAlignment="1" applyProtection="1">
      <alignment vertical="center"/>
      <protection hidden="1"/>
    </xf>
    <xf numFmtId="0" fontId="19" fillId="0" borderId="0" xfId="140" applyNumberFormat="1" applyFont="1" applyFill="1">
      <alignment/>
      <protection/>
    </xf>
    <xf numFmtId="0" fontId="20" fillId="0" borderId="0" xfId="140" applyNumberFormat="1" applyFont="1" applyFill="1" applyBorder="1" applyAlignment="1">
      <alignment wrapText="1"/>
      <protection/>
    </xf>
    <xf numFmtId="3" fontId="0" fillId="0" borderId="0" xfId="0" applyNumberFormat="1" applyAlignment="1">
      <alignment/>
    </xf>
    <xf numFmtId="49" fontId="11" fillId="0" borderId="17" xfId="0" applyNumberFormat="1" applyFont="1" applyFill="1" applyBorder="1" applyAlignment="1">
      <alignment horizontal="center" vertical="center" wrapText="1"/>
    </xf>
    <xf numFmtId="49" fontId="10" fillId="24" borderId="31" xfId="0" applyNumberFormat="1" applyFont="1" applyFill="1" applyBorder="1" applyAlignment="1">
      <alignment horizontal="left" vertical="center"/>
    </xf>
    <xf numFmtId="4" fontId="26" fillId="20" borderId="11" xfId="0" applyNumberFormat="1" applyFont="1" applyFill="1" applyBorder="1" applyAlignment="1" applyProtection="1">
      <alignment horizontal="center" vertical="center"/>
      <protection/>
    </xf>
    <xf numFmtId="4" fontId="26" fillId="24" borderId="11" xfId="0" applyNumberFormat="1" applyFont="1" applyFill="1" applyBorder="1" applyAlignment="1" applyProtection="1">
      <alignment horizontal="center" vertical="center"/>
      <protection/>
    </xf>
    <xf numFmtId="4" fontId="26" fillId="24" borderId="31" xfId="0" applyNumberFormat="1" applyFont="1" applyFill="1" applyBorder="1" applyAlignment="1" applyProtection="1">
      <alignment horizontal="center" vertical="center"/>
      <protection/>
    </xf>
    <xf numFmtId="2" fontId="11" fillId="0" borderId="14" xfId="0" applyNumberFormat="1" applyFont="1" applyFill="1" applyBorder="1" applyAlignment="1">
      <alignment horizontal="left" vertical="center"/>
    </xf>
    <xf numFmtId="49" fontId="11" fillId="0" borderId="14" xfId="0" applyNumberFormat="1" applyFont="1" applyFill="1" applyBorder="1" applyAlignment="1">
      <alignment horizontal="center" vertical="center"/>
    </xf>
    <xf numFmtId="49" fontId="11" fillId="25" borderId="11" xfId="0" applyNumberFormat="1" applyFont="1" applyFill="1" applyBorder="1" applyAlignment="1">
      <alignment horizontal="center" vertical="center"/>
    </xf>
    <xf numFmtId="41" fontId="10" fillId="24" borderId="11" xfId="139" applyNumberFormat="1" applyFont="1" applyFill="1" applyBorder="1" applyAlignment="1" applyProtection="1">
      <alignment horizontal="left" vertical="center"/>
      <protection hidden="1"/>
    </xf>
    <xf numFmtId="1" fontId="110" fillId="0" borderId="16" xfId="0" applyNumberFormat="1" applyFont="1" applyFill="1" applyBorder="1" applyAlignment="1">
      <alignment horizontal="center" vertical="center"/>
    </xf>
    <xf numFmtId="37" fontId="26" fillId="20" borderId="11" xfId="0" applyNumberFormat="1" applyFont="1" applyFill="1" applyBorder="1" applyAlignment="1">
      <alignment horizontal="right" vertical="center"/>
    </xf>
    <xf numFmtId="37" fontId="26" fillId="20" borderId="12" xfId="0" applyNumberFormat="1" applyFont="1" applyFill="1" applyBorder="1" applyAlignment="1">
      <alignment horizontal="right" vertical="center"/>
    </xf>
    <xf numFmtId="37" fontId="26" fillId="25" borderId="11" xfId="0" applyNumberFormat="1" applyFont="1" applyFill="1" applyBorder="1" applyAlignment="1">
      <alignment horizontal="right" vertical="center"/>
    </xf>
    <xf numFmtId="37" fontId="144" fillId="0" borderId="0" xfId="0" applyNumberFormat="1" applyFont="1" applyFill="1" applyAlignment="1">
      <alignment/>
    </xf>
    <xf numFmtId="1" fontId="10" fillId="0" borderId="31" xfId="0" applyNumberFormat="1" applyFont="1" applyBorder="1" applyAlignment="1">
      <alignment vertical="center"/>
    </xf>
    <xf numFmtId="3" fontId="11" fillId="20" borderId="11" xfId="0" applyNumberFormat="1" applyFont="1" applyFill="1" applyBorder="1" applyAlignment="1">
      <alignment vertical="center"/>
    </xf>
    <xf numFmtId="3" fontId="10" fillId="24" borderId="11" xfId="0" applyNumberFormat="1" applyFont="1" applyFill="1" applyBorder="1" applyAlignment="1">
      <alignment vertical="center"/>
    </xf>
    <xf numFmtId="3" fontId="11" fillId="20" borderId="11" xfId="0" applyNumberFormat="1" applyFont="1" applyFill="1" applyBorder="1" applyAlignment="1">
      <alignment horizontal="center" vertical="center"/>
    </xf>
    <xf numFmtId="3" fontId="11" fillId="20" borderId="12" xfId="0" applyNumberFormat="1" applyFont="1" applyFill="1" applyBorder="1" applyAlignment="1">
      <alignment horizontal="center" vertical="center"/>
    </xf>
    <xf numFmtId="3" fontId="11" fillId="20" borderId="12" xfId="0" applyNumberFormat="1" applyFont="1" applyFill="1" applyBorder="1" applyAlignment="1">
      <alignment horizontal="center" vertical="center" wrapText="1"/>
    </xf>
    <xf numFmtId="3" fontId="10" fillId="0" borderId="12" xfId="0" applyNumberFormat="1" applyFont="1" applyBorder="1" applyAlignment="1">
      <alignment horizontal="center" vertical="center"/>
    </xf>
    <xf numFmtId="3" fontId="10" fillId="0" borderId="11" xfId="0" applyNumberFormat="1" applyFont="1" applyBorder="1" applyAlignment="1">
      <alignment vertical="center"/>
    </xf>
    <xf numFmtId="3" fontId="10" fillId="0" borderId="11" xfId="0" applyNumberFormat="1" applyFont="1" applyBorder="1" applyAlignment="1">
      <alignment horizontal="center" vertical="center"/>
    </xf>
    <xf numFmtId="3" fontId="26" fillId="20" borderId="11" xfId="0" applyNumberFormat="1" applyFont="1" applyFill="1" applyBorder="1" applyAlignment="1">
      <alignment horizontal="center" vertical="center"/>
    </xf>
    <xf numFmtId="3" fontId="26" fillId="25" borderId="11" xfId="0" applyNumberFormat="1" applyFont="1" applyFill="1" applyBorder="1" applyAlignment="1">
      <alignment horizontal="center" vertical="center"/>
    </xf>
    <xf numFmtId="3" fontId="26" fillId="20" borderId="12" xfId="0" applyNumberFormat="1" applyFont="1" applyFill="1" applyBorder="1" applyAlignment="1">
      <alignment horizontal="center" vertical="center"/>
    </xf>
    <xf numFmtId="3" fontId="11" fillId="20" borderId="14" xfId="0" applyNumberFormat="1" applyFont="1" applyFill="1" applyBorder="1" applyAlignment="1">
      <alignment horizontal="center" vertical="center"/>
    </xf>
    <xf numFmtId="3" fontId="10" fillId="0" borderId="14" xfId="0" applyNumberFormat="1" applyFont="1" applyBorder="1" applyAlignment="1">
      <alignment horizontal="center" vertical="center"/>
    </xf>
    <xf numFmtId="3" fontId="10" fillId="20" borderId="11" xfId="0" applyNumberFormat="1" applyFont="1" applyFill="1" applyBorder="1" applyAlignment="1">
      <alignment horizontal="center" vertical="center"/>
    </xf>
    <xf numFmtId="3" fontId="11" fillId="20" borderId="11" xfId="135" applyNumberFormat="1" applyFont="1" applyFill="1" applyBorder="1" applyAlignment="1" applyProtection="1">
      <alignment vertical="center"/>
      <protection/>
    </xf>
    <xf numFmtId="3" fontId="10" fillId="0" borderId="11" xfId="0" applyNumberFormat="1" applyFont="1" applyBorder="1" applyAlignment="1">
      <alignment/>
    </xf>
    <xf numFmtId="3" fontId="11" fillId="20" borderId="11" xfId="0" applyNumberFormat="1" applyFont="1" applyFill="1" applyBorder="1" applyAlignment="1">
      <alignment/>
    </xf>
    <xf numFmtId="3" fontId="10" fillId="0" borderId="31" xfId="0" applyNumberFormat="1" applyFont="1" applyBorder="1" applyAlignment="1">
      <alignment/>
    </xf>
    <xf numFmtId="3" fontId="11" fillId="0" borderId="11" xfId="0" applyNumberFormat="1" applyFont="1" applyBorder="1" applyAlignment="1">
      <alignment vertical="center"/>
    </xf>
    <xf numFmtId="3" fontId="11" fillId="20" borderId="11" xfId="0" applyNumberFormat="1" applyFont="1" applyFill="1" applyBorder="1" applyAlignment="1">
      <alignment vertical="center"/>
    </xf>
    <xf numFmtId="3" fontId="10" fillId="0" borderId="31" xfId="0" applyNumberFormat="1" applyFont="1" applyBorder="1" applyAlignment="1">
      <alignment vertical="center"/>
    </xf>
    <xf numFmtId="3" fontId="11" fillId="20" borderId="11" xfId="0" applyNumberFormat="1" applyFont="1" applyFill="1" applyBorder="1" applyAlignment="1">
      <alignment horizontal="center" vertical="center"/>
    </xf>
    <xf numFmtId="3" fontId="10" fillId="24" borderId="12" xfId="0" applyNumberFormat="1" applyFont="1" applyFill="1" applyBorder="1" applyAlignment="1">
      <alignment horizontal="center" vertical="center"/>
    </xf>
    <xf numFmtId="3" fontId="11" fillId="20" borderId="12" xfId="0" applyNumberFormat="1" applyFont="1" applyFill="1" applyBorder="1" applyAlignment="1">
      <alignment horizontal="center" vertical="center"/>
    </xf>
    <xf numFmtId="3" fontId="10" fillId="24" borderId="11" xfId="0" applyNumberFormat="1" applyFont="1" applyFill="1" applyBorder="1" applyAlignment="1">
      <alignment horizontal="center" vertical="center"/>
    </xf>
    <xf numFmtId="3" fontId="26" fillId="20" borderId="11" xfId="0" applyNumberFormat="1" applyFont="1" applyFill="1" applyBorder="1" applyAlignment="1">
      <alignment horizontal="center" vertical="center"/>
    </xf>
    <xf numFmtId="3" fontId="26" fillId="25" borderId="11" xfId="0" applyNumberFormat="1" applyFont="1" applyFill="1" applyBorder="1" applyAlignment="1">
      <alignment horizontal="center" vertical="center"/>
    </xf>
    <xf numFmtId="3" fontId="26" fillId="20" borderId="12" xfId="0" applyNumberFormat="1" applyFont="1" applyFill="1" applyBorder="1" applyAlignment="1">
      <alignment horizontal="center" vertical="center"/>
    </xf>
    <xf numFmtId="3" fontId="11" fillId="20" borderId="17" xfId="0" applyNumberFormat="1" applyFont="1" applyFill="1" applyBorder="1" applyAlignment="1">
      <alignment horizontal="center" vertical="center"/>
    </xf>
    <xf numFmtId="3" fontId="10" fillId="24" borderId="14" xfId="0" applyNumberFormat="1" applyFont="1" applyFill="1" applyBorder="1" applyAlignment="1">
      <alignment horizontal="center" vertical="center"/>
    </xf>
    <xf numFmtId="3" fontId="11" fillId="20" borderId="14" xfId="0" applyNumberFormat="1" applyFont="1" applyFill="1" applyBorder="1" applyAlignment="1">
      <alignment horizontal="center" vertical="center"/>
    </xf>
    <xf numFmtId="3" fontId="136" fillId="24" borderId="14" xfId="0" applyNumberFormat="1" applyFont="1" applyFill="1" applyBorder="1" applyAlignment="1">
      <alignment horizontal="center" vertical="center"/>
    </xf>
    <xf numFmtId="3" fontId="10" fillId="20" borderId="11" xfId="0" applyNumberFormat="1" applyFont="1" applyFill="1" applyBorder="1" applyAlignment="1">
      <alignment horizontal="center" vertical="center"/>
    </xf>
    <xf numFmtId="3" fontId="10" fillId="24" borderId="31" xfId="0" applyNumberFormat="1" applyFont="1" applyFill="1" applyBorder="1" applyAlignment="1">
      <alignment vertical="center"/>
    </xf>
    <xf numFmtId="37" fontId="17" fillId="20" borderId="11" xfId="0" applyNumberFormat="1" applyFont="1" applyFill="1" applyBorder="1" applyAlignment="1">
      <alignment vertical="center"/>
    </xf>
    <xf numFmtId="37" fontId="29" fillId="24" borderId="12" xfId="0" applyNumberFormat="1" applyFont="1" applyFill="1" applyBorder="1" applyAlignment="1">
      <alignment vertical="center"/>
    </xf>
    <xf numFmtId="37" fontId="17" fillId="20" borderId="12" xfId="0" applyNumberFormat="1" applyFont="1" applyFill="1" applyBorder="1" applyAlignment="1">
      <alignment vertical="center"/>
    </xf>
    <xf numFmtId="37" fontId="29" fillId="24" borderId="11" xfId="0" applyNumberFormat="1" applyFont="1" applyFill="1" applyBorder="1" applyAlignment="1">
      <alignment vertical="center"/>
    </xf>
    <xf numFmtId="37" fontId="80" fillId="20" borderId="11" xfId="0" applyNumberFormat="1" applyFont="1" applyFill="1" applyBorder="1" applyAlignment="1">
      <alignment vertical="center"/>
    </xf>
    <xf numFmtId="37" fontId="80" fillId="25" borderId="11" xfId="0" applyNumberFormat="1" applyFont="1" applyFill="1" applyBorder="1" applyAlignment="1">
      <alignment vertical="center"/>
    </xf>
    <xf numFmtId="37" fontId="80" fillId="20" borderId="12" xfId="0" applyNumberFormat="1" applyFont="1" applyFill="1" applyBorder="1" applyAlignment="1">
      <alignment vertical="center"/>
    </xf>
    <xf numFmtId="37" fontId="17" fillId="20" borderId="17" xfId="0" applyNumberFormat="1" applyFont="1" applyFill="1" applyBorder="1" applyAlignment="1">
      <alignment horizontal="left" vertical="center"/>
    </xf>
    <xf numFmtId="37" fontId="17" fillId="20" borderId="11" xfId="0" applyNumberFormat="1" applyFont="1" applyFill="1" applyBorder="1" applyAlignment="1">
      <alignment horizontal="left" vertical="center"/>
    </xf>
    <xf numFmtId="37" fontId="29" fillId="24" borderId="14" xfId="0" applyNumberFormat="1" applyFont="1" applyFill="1" applyBorder="1" applyAlignment="1">
      <alignment vertical="center"/>
    </xf>
    <xf numFmtId="37" fontId="17" fillId="20" borderId="14" xfId="0" applyNumberFormat="1" applyFont="1" applyFill="1" applyBorder="1" applyAlignment="1">
      <alignment vertical="center"/>
    </xf>
    <xf numFmtId="37" fontId="29" fillId="20" borderId="11" xfId="0" applyNumberFormat="1" applyFont="1" applyFill="1" applyBorder="1" applyAlignment="1">
      <alignment vertical="center"/>
    </xf>
    <xf numFmtId="3" fontId="10" fillId="24" borderId="11" xfId="0" applyNumberFormat="1" applyFont="1" applyFill="1" applyBorder="1" applyAlignment="1">
      <alignment/>
    </xf>
    <xf numFmtId="3" fontId="11" fillId="24" borderId="11" xfId="0" applyNumberFormat="1" applyFont="1" applyFill="1" applyBorder="1" applyAlignment="1">
      <alignment/>
    </xf>
    <xf numFmtId="3" fontId="11" fillId="20" borderId="11" xfId="0" applyNumberFormat="1" applyFont="1" applyFill="1" applyBorder="1" applyAlignment="1">
      <alignment/>
    </xf>
    <xf numFmtId="3" fontId="10" fillId="24" borderId="31" xfId="0" applyNumberFormat="1" applyFont="1" applyFill="1" applyBorder="1" applyAlignment="1">
      <alignment/>
    </xf>
    <xf numFmtId="41" fontId="10" fillId="0" borderId="11" xfId="96" applyNumberFormat="1" applyFont="1" applyBorder="1" applyAlignment="1" applyProtection="1">
      <alignment horizontal="right" vertical="center"/>
      <protection hidden="1"/>
    </xf>
    <xf numFmtId="41" fontId="11" fillId="20" borderId="31" xfId="0" applyNumberFormat="1" applyFont="1" applyFill="1" applyBorder="1" applyAlignment="1" applyProtection="1">
      <alignment horizontal="center" vertical="center"/>
      <protection hidden="1"/>
    </xf>
    <xf numFmtId="41" fontId="11" fillId="25" borderId="31" xfId="0" applyNumberFormat="1" applyFont="1" applyFill="1" applyBorder="1" applyAlignment="1" applyProtection="1">
      <alignment horizontal="center" vertical="center"/>
      <protection hidden="1"/>
    </xf>
    <xf numFmtId="41" fontId="11" fillId="8" borderId="31" xfId="0" applyNumberFormat="1" applyFont="1" applyFill="1" applyBorder="1" applyAlignment="1" applyProtection="1">
      <alignment horizontal="center" vertical="center"/>
      <protection hidden="1"/>
    </xf>
    <xf numFmtId="41" fontId="10" fillId="0" borderId="31" xfId="96" applyNumberFormat="1" applyFont="1" applyBorder="1" applyAlignment="1" applyProtection="1">
      <alignment horizontal="center" vertical="center"/>
      <protection hidden="1"/>
    </xf>
    <xf numFmtId="49" fontId="11" fillId="20" borderId="14" xfId="139" applyNumberFormat="1" applyFont="1" applyFill="1" applyBorder="1" applyAlignment="1">
      <alignment horizontal="center" vertical="center"/>
      <protection/>
    </xf>
    <xf numFmtId="49" fontId="11" fillId="20" borderId="11" xfId="139" applyNumberFormat="1" applyFont="1" applyFill="1" applyBorder="1" applyAlignment="1">
      <alignment horizontal="left" vertical="center"/>
      <protection/>
    </xf>
    <xf numFmtId="41" fontId="11" fillId="20" borderId="11" xfId="139" applyNumberFormat="1" applyFont="1" applyFill="1" applyBorder="1" applyAlignment="1" applyProtection="1">
      <alignment horizontal="right" vertical="center"/>
      <protection hidden="1"/>
    </xf>
    <xf numFmtId="37" fontId="11" fillId="20" borderId="11" xfId="139" applyNumberFormat="1" applyFont="1" applyFill="1" applyBorder="1" applyAlignment="1" applyProtection="1">
      <alignment horizontal="center" vertical="center"/>
      <protection hidden="1"/>
    </xf>
    <xf numFmtId="41" fontId="10" fillId="0" borderId="17" xfId="139" applyNumberFormat="1" applyFont="1" applyBorder="1" applyAlignment="1" applyProtection="1">
      <alignment vertical="center"/>
      <protection hidden="1"/>
    </xf>
    <xf numFmtId="37" fontId="11" fillId="20" borderId="31" xfId="139" applyNumberFormat="1" applyFont="1" applyFill="1" applyBorder="1" applyAlignment="1" applyProtection="1">
      <alignment horizontal="center" vertical="center"/>
      <protection hidden="1"/>
    </xf>
    <xf numFmtId="41" fontId="10" fillId="0" borderId="35" xfId="139" applyNumberFormat="1" applyFont="1" applyBorder="1" applyAlignment="1" applyProtection="1">
      <alignment vertical="center"/>
      <protection hidden="1"/>
    </xf>
    <xf numFmtId="0" fontId="10" fillId="0" borderId="11" xfId="0" applyFont="1" applyFill="1" applyBorder="1" applyAlignment="1">
      <alignment horizontal="left" vertical="center"/>
    </xf>
    <xf numFmtId="1" fontId="10" fillId="0" borderId="11" xfId="0" applyNumberFormat="1" applyFont="1" applyBorder="1" applyAlignment="1">
      <alignment horizontal="left" vertical="center"/>
    </xf>
    <xf numFmtId="0" fontId="10" fillId="0" borderId="16" xfId="0" applyFont="1" applyBorder="1" applyAlignment="1">
      <alignment horizontal="left" vertical="center"/>
    </xf>
    <xf numFmtId="0" fontId="10" fillId="0" borderId="34" xfId="0" applyFont="1" applyBorder="1" applyAlignment="1">
      <alignment horizontal="left" vertical="center"/>
    </xf>
    <xf numFmtId="1" fontId="10" fillId="24" borderId="28" xfId="0" applyNumberFormat="1" applyFont="1" applyFill="1" applyBorder="1" applyAlignment="1">
      <alignment horizontal="left" vertical="center"/>
    </xf>
    <xf numFmtId="1" fontId="10" fillId="24" borderId="16" xfId="0" applyNumberFormat="1" applyFont="1" applyFill="1" applyBorder="1" applyAlignment="1">
      <alignment horizontal="left" vertical="center"/>
    </xf>
    <xf numFmtId="1" fontId="10" fillId="24" borderId="12" xfId="0" applyNumberFormat="1" applyFont="1" applyFill="1" applyBorder="1" applyAlignment="1">
      <alignment horizontal="left" vertical="center"/>
    </xf>
    <xf numFmtId="1" fontId="10" fillId="24" borderId="31" xfId="0" applyNumberFormat="1" applyFont="1" applyFill="1" applyBorder="1" applyAlignment="1">
      <alignment horizontal="left" vertical="center"/>
    </xf>
    <xf numFmtId="0" fontId="10" fillId="0" borderId="31" xfId="0" applyNumberFormat="1" applyFont="1" applyBorder="1" applyAlignment="1">
      <alignment vertical="center"/>
    </xf>
    <xf numFmtId="49" fontId="10" fillId="0" borderId="11" xfId="0" applyNumberFormat="1" applyFont="1" applyFill="1" applyBorder="1" applyAlignment="1" applyProtection="1">
      <alignment horizontal="center" vertical="center" wrapText="1"/>
      <protection/>
    </xf>
    <xf numFmtId="49" fontId="35" fillId="0" borderId="11" xfId="0" applyNumberFormat="1" applyFont="1" applyFill="1" applyBorder="1" applyAlignment="1">
      <alignment horizontal="center" vertical="center" wrapText="1"/>
    </xf>
    <xf numFmtId="3" fontId="11" fillId="20" borderId="11" xfId="0" applyNumberFormat="1" applyFont="1" applyFill="1" applyBorder="1" applyAlignment="1" applyProtection="1">
      <alignment horizontal="center" vertical="center"/>
      <protection/>
    </xf>
    <xf numFmtId="3" fontId="10" fillId="24" borderId="11" xfId="0" applyNumberFormat="1" applyFont="1" applyFill="1" applyBorder="1" applyAlignment="1" applyProtection="1">
      <alignment horizontal="center" vertical="center"/>
      <protection/>
    </xf>
    <xf numFmtId="3" fontId="10" fillId="25" borderId="11" xfId="0" applyNumberFormat="1" applyFont="1" applyFill="1" applyBorder="1" applyAlignment="1" applyProtection="1">
      <alignment horizontal="center" vertical="center"/>
      <protection/>
    </xf>
    <xf numFmtId="3" fontId="10" fillId="24" borderId="11" xfId="147" applyNumberFormat="1" applyFont="1" applyFill="1" applyBorder="1" applyAlignment="1" applyProtection="1">
      <alignment horizontal="center" vertical="center"/>
      <protection/>
    </xf>
    <xf numFmtId="3" fontId="11" fillId="20" borderId="11" xfId="0" applyNumberFormat="1" applyFont="1" applyFill="1" applyBorder="1" applyAlignment="1">
      <alignment horizontal="center"/>
    </xf>
    <xf numFmtId="3" fontId="11" fillId="5" borderId="11" xfId="0" applyNumberFormat="1" applyFont="1" applyFill="1" applyBorder="1" applyAlignment="1">
      <alignment horizontal="center" vertical="center"/>
    </xf>
    <xf numFmtId="3" fontId="11" fillId="20" borderId="31" xfId="0" applyNumberFormat="1" applyFont="1" applyFill="1" applyBorder="1" applyAlignment="1" applyProtection="1">
      <alignment horizontal="center" vertical="center"/>
      <protection/>
    </xf>
    <xf numFmtId="3" fontId="10" fillId="24" borderId="31" xfId="0" applyNumberFormat="1" applyFont="1" applyFill="1" applyBorder="1" applyAlignment="1" applyProtection="1">
      <alignment horizontal="center" vertical="center"/>
      <protection/>
    </xf>
    <xf numFmtId="3" fontId="10" fillId="25" borderId="31" xfId="0" applyNumberFormat="1" applyFont="1" applyFill="1" applyBorder="1" applyAlignment="1" applyProtection="1">
      <alignment horizontal="center" vertical="center"/>
      <protection/>
    </xf>
    <xf numFmtId="3" fontId="10" fillId="24" borderId="31" xfId="147" applyNumberFormat="1" applyFont="1" applyFill="1" applyBorder="1" applyAlignment="1" applyProtection="1">
      <alignment horizontal="center" vertical="center"/>
      <protection/>
    </xf>
    <xf numFmtId="3" fontId="11" fillId="20" borderId="31" xfId="0" applyNumberFormat="1" applyFont="1" applyFill="1" applyBorder="1" applyAlignment="1">
      <alignment horizontal="center"/>
    </xf>
    <xf numFmtId="3" fontId="11" fillId="5" borderId="31" xfId="0" applyNumberFormat="1" applyFont="1" applyFill="1" applyBorder="1" applyAlignment="1">
      <alignment horizontal="center" vertical="center"/>
    </xf>
    <xf numFmtId="3" fontId="11" fillId="20" borderId="14" xfId="0" applyNumberFormat="1" applyFont="1" applyFill="1" applyBorder="1" applyAlignment="1" applyProtection="1">
      <alignment horizontal="center" vertical="center"/>
      <protection/>
    </xf>
    <xf numFmtId="3" fontId="10" fillId="24" borderId="11" xfId="0" applyNumberFormat="1" applyFont="1" applyFill="1" applyBorder="1" applyAlignment="1" applyProtection="1">
      <alignment horizontal="center" vertical="center"/>
      <protection/>
    </xf>
    <xf numFmtId="3" fontId="10" fillId="25" borderId="11" xfId="0" applyNumberFormat="1" applyFont="1" applyFill="1" applyBorder="1" applyAlignment="1" applyProtection="1">
      <alignment horizontal="center" vertical="center"/>
      <protection/>
    </xf>
    <xf numFmtId="3" fontId="10" fillId="24" borderId="11" xfId="147" applyNumberFormat="1" applyFont="1" applyFill="1" applyBorder="1" applyAlignment="1" applyProtection="1">
      <alignment horizontal="center" vertical="center"/>
      <protection/>
    </xf>
    <xf numFmtId="3" fontId="11" fillId="20" borderId="11" xfId="0" applyNumberFormat="1" applyFont="1" applyFill="1" applyBorder="1" applyAlignment="1">
      <alignment horizontal="center"/>
    </xf>
    <xf numFmtId="3" fontId="11" fillId="5" borderId="14" xfId="0" applyNumberFormat="1" applyFont="1" applyFill="1" applyBorder="1" applyAlignment="1">
      <alignment horizontal="center" vertical="center"/>
    </xf>
    <xf numFmtId="3" fontId="10" fillId="24" borderId="31" xfId="0" applyNumberFormat="1" applyFont="1" applyFill="1" applyBorder="1" applyAlignment="1" applyProtection="1">
      <alignment horizontal="center" vertical="center"/>
      <protection/>
    </xf>
    <xf numFmtId="3" fontId="10" fillId="25" borderId="31" xfId="0" applyNumberFormat="1" applyFont="1" applyFill="1" applyBorder="1" applyAlignment="1" applyProtection="1">
      <alignment horizontal="center" vertical="center"/>
      <protection/>
    </xf>
    <xf numFmtId="3" fontId="10" fillId="24" borderId="31" xfId="147" applyNumberFormat="1" applyFont="1" applyFill="1" applyBorder="1" applyAlignment="1" applyProtection="1">
      <alignment horizontal="center" vertical="center"/>
      <protection/>
    </xf>
    <xf numFmtId="3" fontId="11" fillId="20" borderId="31" xfId="0" applyNumberFormat="1" applyFont="1" applyFill="1" applyBorder="1" applyAlignment="1">
      <alignment horizontal="center"/>
    </xf>
    <xf numFmtId="3" fontId="10" fillId="24" borderId="14" xfId="0" applyNumberFormat="1" applyFont="1" applyFill="1" applyBorder="1" applyAlignment="1" applyProtection="1">
      <alignment horizontal="center" vertical="center"/>
      <protection/>
    </xf>
    <xf numFmtId="3" fontId="10" fillId="25" borderId="14" xfId="0" applyNumberFormat="1" applyFont="1" applyFill="1" applyBorder="1" applyAlignment="1" applyProtection="1">
      <alignment horizontal="center" vertical="center"/>
      <protection/>
    </xf>
    <xf numFmtId="3" fontId="11" fillId="20" borderId="14" xfId="0" applyNumberFormat="1" applyFont="1" applyFill="1" applyBorder="1" applyAlignment="1" applyProtection="1">
      <alignment horizontal="center" vertical="center"/>
      <protection/>
    </xf>
    <xf numFmtId="3" fontId="11" fillId="20" borderId="31" xfId="0" applyNumberFormat="1" applyFont="1" applyFill="1" applyBorder="1" applyAlignment="1" applyProtection="1">
      <alignment horizontal="center" vertical="center"/>
      <protection/>
    </xf>
    <xf numFmtId="3" fontId="11" fillId="20" borderId="31" xfId="0" applyNumberFormat="1" applyFont="1" applyFill="1" applyBorder="1" applyAlignment="1">
      <alignment horizontal="center" vertical="center"/>
    </xf>
    <xf numFmtId="3" fontId="10" fillId="24" borderId="12" xfId="0" applyNumberFormat="1" applyFont="1" applyFill="1" applyBorder="1" applyAlignment="1" applyProtection="1">
      <alignment horizontal="center" vertical="center"/>
      <protection/>
    </xf>
    <xf numFmtId="3" fontId="10" fillId="25" borderId="12" xfId="0" applyNumberFormat="1" applyFont="1" applyFill="1" applyBorder="1" applyAlignment="1" applyProtection="1">
      <alignment horizontal="center" vertical="center"/>
      <protection/>
    </xf>
    <xf numFmtId="3" fontId="10" fillId="24" borderId="12" xfId="147" applyNumberFormat="1" applyFont="1" applyFill="1" applyBorder="1" applyAlignment="1" applyProtection="1">
      <alignment horizontal="center" vertical="center"/>
      <protection/>
    </xf>
    <xf numFmtId="0" fontId="10" fillId="24" borderId="30" xfId="0" applyNumberFormat="1" applyFont="1" applyFill="1" applyBorder="1" applyAlignment="1" applyProtection="1">
      <alignment horizontal="center" vertical="center"/>
      <protection/>
    </xf>
    <xf numFmtId="49" fontId="31" fillId="20" borderId="11" xfId="0" applyNumberFormat="1" applyFont="1" applyFill="1" applyBorder="1" applyAlignment="1" applyProtection="1">
      <alignment horizontal="center" vertical="center"/>
      <protection/>
    </xf>
    <xf numFmtId="49" fontId="13" fillId="24" borderId="11" xfId="0" applyNumberFormat="1" applyFont="1" applyFill="1" applyBorder="1" applyAlignment="1" applyProtection="1">
      <alignment horizontal="center" vertical="center"/>
      <protection/>
    </xf>
    <xf numFmtId="49" fontId="13" fillId="24" borderId="31" xfId="0" applyNumberFormat="1" applyFont="1" applyFill="1" applyBorder="1" applyAlignment="1" applyProtection="1">
      <alignment horizontal="center" vertical="center"/>
      <protection/>
    </xf>
    <xf numFmtId="49" fontId="31" fillId="20" borderId="14" xfId="0" applyNumberFormat="1" applyFont="1" applyFill="1" applyBorder="1" applyAlignment="1" applyProtection="1">
      <alignment horizontal="center" vertical="center"/>
      <protection/>
    </xf>
    <xf numFmtId="0" fontId="13" fillId="24" borderId="11" xfId="0" applyNumberFormat="1" applyFont="1" applyFill="1" applyBorder="1" applyAlignment="1" applyProtection="1">
      <alignment horizontal="center" vertical="center"/>
      <protection/>
    </xf>
    <xf numFmtId="0" fontId="13" fillId="24" borderId="31" xfId="0" applyNumberFormat="1" applyFont="1" applyFill="1" applyBorder="1" applyAlignment="1" applyProtection="1">
      <alignment horizontal="center" vertical="center"/>
      <protection/>
    </xf>
    <xf numFmtId="0" fontId="13" fillId="24" borderId="12" xfId="0" applyNumberFormat="1" applyFont="1" applyFill="1" applyBorder="1" applyAlignment="1" applyProtection="1">
      <alignment horizontal="center" vertical="center"/>
      <protection/>
    </xf>
    <xf numFmtId="3" fontId="138" fillId="20" borderId="11" xfId="0" applyNumberFormat="1" applyFont="1" applyFill="1" applyBorder="1" applyAlignment="1">
      <alignment horizontal="center"/>
    </xf>
    <xf numFmtId="3" fontId="138" fillId="20" borderId="31" xfId="0" applyNumberFormat="1" applyFont="1" applyFill="1" applyBorder="1" applyAlignment="1">
      <alignment horizontal="center"/>
    </xf>
    <xf numFmtId="3" fontId="138" fillId="24" borderId="11" xfId="0" applyNumberFormat="1" applyFont="1" applyFill="1" applyBorder="1" applyAlignment="1" applyProtection="1">
      <alignment horizontal="center" vertical="center"/>
      <protection/>
    </xf>
    <xf numFmtId="3" fontId="138" fillId="25" borderId="11" xfId="0" applyNumberFormat="1" applyFont="1" applyFill="1" applyBorder="1" applyAlignment="1" applyProtection="1">
      <alignment horizontal="center" vertical="center"/>
      <protection/>
    </xf>
    <xf numFmtId="3" fontId="138" fillId="24" borderId="11" xfId="147" applyNumberFormat="1" applyFont="1" applyFill="1" applyBorder="1" applyAlignment="1" applyProtection="1">
      <alignment horizontal="center" vertical="center"/>
      <protection/>
    </xf>
    <xf numFmtId="3" fontId="138" fillId="20" borderId="11" xfId="0" applyNumberFormat="1" applyFont="1" applyFill="1" applyBorder="1" applyAlignment="1">
      <alignment horizontal="center"/>
    </xf>
    <xf numFmtId="0" fontId="13" fillId="0" borderId="31" xfId="0" applyNumberFormat="1" applyFont="1" applyBorder="1" applyAlignment="1">
      <alignment vertical="center"/>
    </xf>
    <xf numFmtId="3" fontId="138" fillId="24" borderId="31" xfId="0" applyNumberFormat="1" applyFont="1" applyFill="1" applyBorder="1" applyAlignment="1" applyProtection="1">
      <alignment horizontal="center" vertical="center"/>
      <protection/>
    </xf>
    <xf numFmtId="3" fontId="138" fillId="25" borderId="31" xfId="0" applyNumberFormat="1" applyFont="1" applyFill="1" applyBorder="1" applyAlignment="1" applyProtection="1">
      <alignment horizontal="center" vertical="center"/>
      <protection/>
    </xf>
    <xf numFmtId="3" fontId="138" fillId="24" borderId="31" xfId="147" applyNumberFormat="1" applyFont="1" applyFill="1" applyBorder="1" applyAlignment="1" applyProtection="1">
      <alignment horizontal="center" vertical="center"/>
      <protection/>
    </xf>
    <xf numFmtId="3" fontId="138" fillId="20" borderId="31" xfId="0" applyNumberFormat="1" applyFont="1" applyFill="1" applyBorder="1" applyAlignment="1">
      <alignment horizontal="center"/>
    </xf>
    <xf numFmtId="0" fontId="13" fillId="0" borderId="16" xfId="0" applyFont="1" applyBorder="1" applyAlignment="1">
      <alignment horizontal="left" vertical="center"/>
    </xf>
    <xf numFmtId="0" fontId="13" fillId="0" borderId="34" xfId="0" applyFont="1" applyBorder="1" applyAlignment="1">
      <alignment horizontal="left" vertical="center"/>
    </xf>
    <xf numFmtId="0" fontId="13" fillId="24" borderId="28" xfId="0" applyFont="1" applyFill="1" applyBorder="1" applyAlignment="1">
      <alignment horizontal="left" vertical="center"/>
    </xf>
    <xf numFmtId="3" fontId="138" fillId="24" borderId="14" xfId="0" applyNumberFormat="1" applyFont="1" applyFill="1" applyBorder="1" applyAlignment="1" applyProtection="1">
      <alignment horizontal="center" vertical="center"/>
      <protection/>
    </xf>
    <xf numFmtId="3" fontId="138" fillId="25" borderId="14" xfId="0" applyNumberFormat="1" applyFont="1" applyFill="1" applyBorder="1" applyAlignment="1" applyProtection="1">
      <alignment horizontal="center" vertical="center"/>
      <protection/>
    </xf>
    <xf numFmtId="3" fontId="138" fillId="25" borderId="14" xfId="0" applyNumberFormat="1" applyFont="1" applyFill="1" applyBorder="1" applyAlignment="1" applyProtection="1">
      <alignment horizontal="center" vertical="center"/>
      <protection/>
    </xf>
    <xf numFmtId="3" fontId="138" fillId="20" borderId="14" xfId="0" applyNumberFormat="1" applyFont="1" applyFill="1" applyBorder="1" applyAlignment="1" applyProtection="1">
      <alignment horizontal="center" vertical="center"/>
      <protection/>
    </xf>
    <xf numFmtId="0" fontId="13" fillId="24" borderId="16" xfId="0" applyFont="1" applyFill="1" applyBorder="1" applyAlignment="1">
      <alignment horizontal="left" vertical="center"/>
    </xf>
    <xf numFmtId="0" fontId="13" fillId="24" borderId="12" xfId="0" applyFont="1" applyFill="1" applyBorder="1" applyAlignment="1">
      <alignment horizontal="left" vertical="center"/>
    </xf>
    <xf numFmtId="3" fontId="138" fillId="20" borderId="31" xfId="0" applyNumberFormat="1" applyFont="1" applyFill="1" applyBorder="1" applyAlignment="1" applyProtection="1">
      <alignment horizontal="center" vertical="center"/>
      <protection/>
    </xf>
    <xf numFmtId="0" fontId="13" fillId="24" borderId="30" xfId="0" applyNumberFormat="1" applyFont="1" applyFill="1" applyBorder="1" applyAlignment="1" applyProtection="1">
      <alignment horizontal="center" vertical="center"/>
      <protection/>
    </xf>
    <xf numFmtId="3" fontId="90" fillId="0" borderId="0" xfId="0" applyNumberFormat="1" applyFont="1" applyFill="1" applyAlignment="1">
      <alignment/>
    </xf>
    <xf numFmtId="41" fontId="13" fillId="0" borderId="11" xfId="139" applyNumberFormat="1" applyFont="1" applyBorder="1" applyAlignment="1" applyProtection="1">
      <alignment horizontal="center" vertical="center"/>
      <protection hidden="1"/>
    </xf>
    <xf numFmtId="41" fontId="13" fillId="25" borderId="11" xfId="139" applyNumberFormat="1" applyFont="1" applyFill="1" applyBorder="1" applyAlignment="1" applyProtection="1">
      <alignment horizontal="center" vertical="center"/>
      <protection hidden="1"/>
    </xf>
    <xf numFmtId="41" fontId="31" fillId="25" borderId="11" xfId="139" applyNumberFormat="1" applyFont="1" applyFill="1" applyBorder="1" applyAlignment="1" applyProtection="1">
      <alignment horizontal="center" vertical="center"/>
      <protection hidden="1"/>
    </xf>
    <xf numFmtId="41" fontId="13" fillId="25" borderId="11" xfId="139" applyNumberFormat="1" applyFont="1" applyFill="1" applyBorder="1" applyAlignment="1" applyProtection="1">
      <alignment vertical="center"/>
      <protection hidden="1"/>
    </xf>
    <xf numFmtId="41" fontId="13" fillId="25" borderId="31" xfId="139" applyNumberFormat="1" applyFont="1" applyFill="1" applyBorder="1" applyAlignment="1" applyProtection="1">
      <alignment vertical="center"/>
      <protection hidden="1"/>
    </xf>
    <xf numFmtId="4" fontId="26" fillId="0" borderId="0" xfId="0" applyNumberFormat="1" applyFont="1" applyFill="1" applyAlignment="1">
      <alignment/>
    </xf>
    <xf numFmtId="4" fontId="90" fillId="0" borderId="0" xfId="0" applyNumberFormat="1" applyFont="1" applyFill="1" applyAlignment="1">
      <alignment/>
    </xf>
    <xf numFmtId="3" fontId="26" fillId="0" borderId="0" xfId="0" applyNumberFormat="1" applyFont="1" applyAlignment="1">
      <alignment/>
    </xf>
    <xf numFmtId="4" fontId="8" fillId="0" borderId="0" xfId="0" applyNumberFormat="1" applyFont="1" applyFill="1" applyAlignment="1">
      <alignment/>
    </xf>
    <xf numFmtId="3" fontId="92" fillId="17" borderId="0" xfId="0" applyNumberFormat="1" applyFont="1" applyFill="1" applyAlignment="1">
      <alignment/>
    </xf>
    <xf numFmtId="3" fontId="92" fillId="0" borderId="0" xfId="0" applyNumberFormat="1" applyFont="1" applyFill="1" applyAlignment="1">
      <alignment/>
    </xf>
    <xf numFmtId="3" fontId="92" fillId="27" borderId="0" xfId="0" applyNumberFormat="1" applyFont="1" applyFill="1" applyAlignment="1">
      <alignment/>
    </xf>
    <xf numFmtId="4" fontId="143" fillId="0" borderId="0" xfId="0" applyNumberFormat="1" applyFont="1" applyFill="1" applyAlignment="1">
      <alignment/>
    </xf>
    <xf numFmtId="4" fontId="145" fillId="0" borderId="0" xfId="0" applyNumberFormat="1" applyFont="1" applyFill="1" applyAlignment="1">
      <alignment/>
    </xf>
    <xf numFmtId="4" fontId="74" fillId="0" borderId="0" xfId="0" applyNumberFormat="1" applyFont="1" applyFill="1" applyAlignment="1">
      <alignment/>
    </xf>
    <xf numFmtId="4" fontId="92" fillId="0" borderId="0" xfId="0" applyNumberFormat="1" applyFont="1" applyFill="1" applyAlignment="1">
      <alignment/>
    </xf>
    <xf numFmtId="49" fontId="146" fillId="0" borderId="11" xfId="137" applyNumberFormat="1" applyFont="1" applyFill="1" applyBorder="1" applyAlignment="1">
      <alignment horizontal="center" vertical="center" wrapText="1"/>
      <protection/>
    </xf>
    <xf numFmtId="41" fontId="19" fillId="0" borderId="0" xfId="137" applyNumberFormat="1" applyFont="1" applyFill="1" applyBorder="1" applyAlignment="1">
      <alignment horizontal="center" wrapText="1"/>
      <protection/>
    </xf>
    <xf numFmtId="0" fontId="10" fillId="0" borderId="31" xfId="0" applyNumberFormat="1" applyFont="1" applyBorder="1" applyAlignment="1">
      <alignment horizontal="center"/>
    </xf>
    <xf numFmtId="3" fontId="10" fillId="0" borderId="0" xfId="140" applyNumberFormat="1" applyFont="1" applyFill="1" applyAlignment="1">
      <alignment vertical="center"/>
      <protection/>
    </xf>
    <xf numFmtId="0" fontId="11" fillId="0" borderId="18" xfId="136" applyNumberFormat="1" applyFont="1" applyFill="1" applyBorder="1" applyAlignment="1">
      <alignment horizontal="center" vertical="center" wrapText="1"/>
      <protection/>
    </xf>
    <xf numFmtId="49" fontId="26" fillId="0" borderId="16" xfId="136" applyNumberFormat="1" applyFont="1" applyFill="1" applyBorder="1" applyAlignment="1">
      <alignment horizontal="center" vertical="center" wrapText="1"/>
      <protection/>
    </xf>
    <xf numFmtId="0" fontId="11" fillId="0" borderId="26"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1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49" fontId="74" fillId="3" borderId="17" xfId="136" applyNumberFormat="1" applyFont="1" applyFill="1" applyBorder="1" applyAlignment="1">
      <alignment horizontal="center" vertical="center" wrapText="1"/>
      <protection/>
    </xf>
    <xf numFmtId="49" fontId="74" fillId="3" borderId="16" xfId="136" applyNumberFormat="1" applyFont="1" applyFill="1" applyBorder="1" applyAlignment="1">
      <alignment horizontal="center" vertical="center" wrapText="1"/>
      <protection/>
    </xf>
    <xf numFmtId="49" fontId="12" fillId="22" borderId="17" xfId="136" applyNumberFormat="1" applyFont="1" applyFill="1" applyBorder="1" applyAlignment="1">
      <alignment horizontal="center"/>
      <protection/>
    </xf>
    <xf numFmtId="49" fontId="12" fillId="22" borderId="16" xfId="136" applyNumberFormat="1" applyFont="1" applyFill="1" applyBorder="1" applyAlignment="1">
      <alignment horizontal="center"/>
      <protection/>
    </xf>
    <xf numFmtId="49" fontId="26" fillId="0" borderId="17" xfId="136" applyNumberFormat="1" applyFont="1" applyFill="1" applyBorder="1" applyAlignment="1">
      <alignment horizontal="center" vertical="center" wrapText="1"/>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7" fillId="0" borderId="0" xfId="136" applyNumberFormat="1" applyFont="1" applyFill="1" applyAlignment="1">
      <alignment horizontal="left"/>
      <protection/>
    </xf>
    <xf numFmtId="49" fontId="11" fillId="0" borderId="11" xfId="136" applyNumberFormat="1" applyFont="1" applyFill="1" applyBorder="1" applyAlignment="1">
      <alignment horizontal="center" vertical="center" wrapText="1"/>
      <protection/>
    </xf>
    <xf numFmtId="49" fontId="11" fillId="0" borderId="17" xfId="136" applyNumberFormat="1" applyFont="1" applyFill="1" applyBorder="1" applyAlignment="1">
      <alignment horizontal="center" vertical="center" wrapText="1"/>
      <protection/>
    </xf>
    <xf numFmtId="49" fontId="11" fillId="0" borderId="37" xfId="136" applyNumberFormat="1" applyFont="1" applyFill="1" applyBorder="1" applyAlignment="1">
      <alignment horizontal="center" vertical="center" wrapText="1"/>
      <protection/>
    </xf>
    <xf numFmtId="49" fontId="11" fillId="0" borderId="16" xfId="136" applyNumberFormat="1" applyFont="1" applyFill="1" applyBorder="1" applyAlignment="1">
      <alignment horizontal="center" vertical="center" wrapText="1"/>
      <protection/>
    </xf>
    <xf numFmtId="49" fontId="12" fillId="22" borderId="17" xfId="136" applyNumberFormat="1" applyFont="1" applyFill="1" applyBorder="1" applyAlignment="1">
      <alignment horizontal="center" vertical="center"/>
      <protection/>
    </xf>
    <xf numFmtId="49" fontId="12" fillId="22" borderId="16" xfId="136" applyNumberFormat="1" applyFont="1" applyFill="1" applyBorder="1" applyAlignment="1">
      <alignment horizontal="center" vertical="center"/>
      <protection/>
    </xf>
    <xf numFmtId="0" fontId="62" fillId="3" borderId="17" xfId="136" applyNumberFormat="1" applyFont="1" applyFill="1" applyBorder="1" applyAlignment="1">
      <alignment horizontal="center" vertical="center" wrapText="1"/>
      <protection/>
    </xf>
    <xf numFmtId="0" fontId="62" fillId="3" borderId="16" xfId="136" applyNumberFormat="1" applyFont="1" applyFill="1" applyBorder="1" applyAlignment="1">
      <alignment horizontal="center" vertical="center" wrapText="1"/>
      <protection/>
    </xf>
    <xf numFmtId="49" fontId="12" fillId="0" borderId="16" xfId="136" applyNumberFormat="1" applyFont="1" applyFill="1" applyBorder="1" applyAlignment="1">
      <alignment horizontal="center" vertical="center" wrapText="1"/>
      <protection/>
    </xf>
    <xf numFmtId="0" fontId="12" fillId="0" borderId="26" xfId="136" applyNumberFormat="1" applyFont="1" applyBorder="1" applyAlignment="1">
      <alignment horizontal="center" vertical="center" wrapText="1"/>
      <protection/>
    </xf>
    <xf numFmtId="0" fontId="12" fillId="0" borderId="27" xfId="136" applyNumberFormat="1" applyFont="1" applyBorder="1" applyAlignment="1">
      <alignment horizontal="center" vertical="center" wrapText="1"/>
      <protection/>
    </xf>
    <xf numFmtId="0" fontId="12" fillId="0" borderId="1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30" fillId="0" borderId="0" xfId="136" applyFont="1" applyAlignment="1">
      <alignment horizontal="center"/>
      <protection/>
    </xf>
    <xf numFmtId="49" fontId="30" fillId="24" borderId="0" xfId="136" applyNumberFormat="1" applyFont="1" applyFill="1" applyAlignment="1">
      <alignment horizontal="center"/>
      <protection/>
    </xf>
    <xf numFmtId="49" fontId="7" fillId="0" borderId="0" xfId="136" applyNumberFormat="1" applyFont="1" applyAlignment="1">
      <alignment horizontal="left"/>
      <protection/>
    </xf>
    <xf numFmtId="49" fontId="12" fillId="0" borderId="11"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24" borderId="0" xfId="136" applyNumberFormat="1" applyFont="1" applyFill="1" applyAlignment="1">
      <alignment horizontal="center" vertical="center" wrapText="1"/>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0" fontId="21" fillId="0" borderId="11" xfId="136" applyNumberFormat="1" applyFont="1" applyBorder="1" applyAlignment="1">
      <alignment horizontal="center" vertical="center" wrapText="1"/>
      <protection/>
    </xf>
    <xf numFmtId="49" fontId="37" fillId="0" borderId="0" xfId="136" applyNumberFormat="1" applyFont="1" applyBorder="1" applyAlignment="1">
      <alignment horizontal="center" wrapText="1"/>
      <protection/>
    </xf>
    <xf numFmtId="0" fontId="61" fillId="3" borderId="17" xfId="136" applyNumberFormat="1" applyFont="1" applyFill="1" applyBorder="1" applyAlignment="1">
      <alignment horizontal="center" vertical="center" wrapText="1"/>
      <protection/>
    </xf>
    <xf numFmtId="0" fontId="61" fillId="3" borderId="16" xfId="136" applyNumberFormat="1" applyFont="1" applyFill="1" applyBorder="1" applyAlignment="1">
      <alignment horizontal="center" vertic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23" fillId="0" borderId="13" xfId="136" applyNumberFormat="1" applyFont="1" applyFill="1" applyBorder="1" applyAlignment="1">
      <alignment horizontal="center" vertical="center"/>
      <protection/>
    </xf>
    <xf numFmtId="49" fontId="12" fillId="0" borderId="11" xfId="136" applyNumberFormat="1" applyFont="1" applyFill="1" applyBorder="1" applyAlignment="1" applyProtection="1">
      <alignment horizontal="center" vertical="center" wrapText="1"/>
      <protection/>
    </xf>
    <xf numFmtId="3" fontId="12" fillId="24" borderId="12" xfId="136" applyNumberFormat="1" applyFont="1" applyFill="1" applyBorder="1" applyAlignment="1" applyProtection="1">
      <alignment horizontal="center" vertical="center" wrapText="1"/>
      <protection/>
    </xf>
    <xf numFmtId="3" fontId="12" fillId="24" borderId="14" xfId="136" applyNumberFormat="1" applyFont="1" applyFill="1" applyBorder="1" applyAlignment="1" applyProtection="1">
      <alignment horizontal="center" vertical="center" wrapText="1"/>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49" fontId="0" fillId="3" borderId="10" xfId="136" applyNumberFormat="1" applyFont="1" applyFill="1" applyBorder="1" applyAlignment="1">
      <alignment horizontal="center"/>
      <protection/>
    </xf>
    <xf numFmtId="49" fontId="0" fillId="3" borderId="27" xfId="136" applyNumberFormat="1" applyFont="1" applyFill="1" applyBorder="1" applyAlignment="1">
      <alignment horizontal="center"/>
      <protection/>
    </xf>
    <xf numFmtId="3" fontId="40" fillId="24" borderId="30" xfId="136" applyNumberFormat="1" applyFont="1" applyFill="1" applyBorder="1" applyAlignment="1" applyProtection="1">
      <alignment horizontal="center" vertical="center" wrapText="1"/>
      <protection/>
    </xf>
    <xf numFmtId="3" fontId="40" fillId="24" borderId="14" xfId="136" applyNumberFormat="1" applyFont="1" applyFill="1" applyBorder="1" applyAlignment="1" applyProtection="1">
      <alignment horizontal="center" vertical="center" wrapText="1"/>
      <protection/>
    </xf>
    <xf numFmtId="49" fontId="12" fillId="0" borderId="16" xfId="136" applyNumberFormat="1" applyFont="1" applyBorder="1" applyAlignment="1">
      <alignment horizontal="center" vertical="center" wrapText="1"/>
      <protection/>
    </xf>
    <xf numFmtId="49" fontId="12" fillId="0" borderId="17" xfId="136" applyNumberFormat="1" applyFont="1" applyFill="1" applyBorder="1" applyAlignment="1">
      <alignment horizontal="center" vertical="center" wrapText="1"/>
      <protection/>
    </xf>
    <xf numFmtId="49" fontId="33" fillId="0" borderId="16" xfId="136" applyNumberFormat="1" applyFont="1" applyFill="1" applyBorder="1" applyAlignment="1">
      <alignment horizontal="center" vertical="center" wrapText="1"/>
      <protection/>
    </xf>
    <xf numFmtId="49" fontId="0" fillId="3" borderId="26" xfId="136" applyNumberFormat="1" applyFont="1" applyFill="1" applyBorder="1" applyAlignment="1">
      <alignment horizontal="center"/>
      <protection/>
    </xf>
    <xf numFmtId="49" fontId="12" fillId="0" borderId="17" xfId="136" applyNumberFormat="1" applyFont="1" applyBorder="1" applyAlignment="1">
      <alignment horizontal="center" vertical="center" wrapText="1"/>
      <protection/>
    </xf>
    <xf numFmtId="49" fontId="12" fillId="0" borderId="37" xfId="136" applyNumberFormat="1" applyFont="1" applyBorder="1" applyAlignment="1">
      <alignment horizontal="center" vertical="center" wrapText="1"/>
      <protection/>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6" applyNumberFormat="1" applyFont="1" applyBorder="1" applyAlignment="1">
      <alignment horizontal="center" wrapText="1"/>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12" fillId="0" borderId="17" xfId="0" applyNumberFormat="1" applyFont="1" applyFill="1" applyBorder="1" applyAlignment="1">
      <alignment horizontal="center"/>
    </xf>
    <xf numFmtId="49" fontId="12" fillId="0" borderId="16"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11" fillId="0" borderId="1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8" fillId="0" borderId="30" xfId="0" applyFont="1" applyFill="1" applyBorder="1" applyAlignment="1">
      <alignment/>
    </xf>
    <xf numFmtId="49" fontId="12" fillId="0" borderId="17"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2" fillId="0" borderId="17" xfId="0" applyNumberFormat="1" applyFont="1" applyFill="1" applyBorder="1" applyAlignment="1">
      <alignment horizontal="center" vertical="distributed" wrapText="1"/>
    </xf>
    <xf numFmtId="0" fontId="8" fillId="0" borderId="16" xfId="0" applyFont="1" applyFill="1" applyBorder="1" applyAlignment="1">
      <alignment horizontal="center" vertical="distributed"/>
    </xf>
    <xf numFmtId="49" fontId="12" fillId="0" borderId="37" xfId="0" applyNumberFormat="1" applyFont="1" applyFill="1" applyBorder="1" applyAlignment="1">
      <alignment horizontal="center" vertical="center" wrapText="1"/>
    </xf>
    <xf numFmtId="49" fontId="20" fillId="0" borderId="10"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26"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1" fillId="0" borderId="28" xfId="136" applyNumberFormat="1" applyFont="1" applyFill="1" applyBorder="1" applyAlignment="1">
      <alignment horizontal="center" vertical="center" wrapText="1"/>
      <protection/>
    </xf>
    <xf numFmtId="49" fontId="11" fillId="0" borderId="30" xfId="136" applyNumberFormat="1" applyFont="1" applyFill="1" applyBorder="1" applyAlignment="1">
      <alignment horizontal="center" vertical="center" wrapText="1"/>
      <protection/>
    </xf>
    <xf numFmtId="49" fontId="11" fillId="0" borderId="14" xfId="136" applyNumberFormat="1" applyFont="1" applyFill="1" applyBorder="1" applyAlignment="1">
      <alignment horizontal="center" vertical="center" wrapText="1"/>
      <protection/>
    </xf>
    <xf numFmtId="49" fontId="7" fillId="0" borderId="11" xfId="136" applyNumberFormat="1" applyFont="1" applyFill="1" applyBorder="1" applyAlignment="1">
      <alignment horizontal="center"/>
      <protection/>
    </xf>
    <xf numFmtId="49" fontId="73" fillId="3" borderId="17" xfId="136" applyNumberFormat="1" applyFont="1" applyFill="1" applyBorder="1" applyAlignment="1">
      <alignment horizontal="center" vertical="center" wrapText="1"/>
      <protection/>
    </xf>
    <xf numFmtId="49" fontId="73" fillId="3" borderId="16"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13" xfId="136" applyNumberFormat="1" applyFont="1" applyFill="1" applyBorder="1" applyAlignment="1">
      <alignment horizontal="center" vertic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24"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25" fillId="0" borderId="11" xfId="136" applyNumberFormat="1" applyFont="1" applyFill="1" applyBorder="1" applyAlignment="1">
      <alignment horizontal="center" vertical="center" wrapText="1"/>
      <protection/>
    </xf>
    <xf numFmtId="49" fontId="7" fillId="0" borderId="11" xfId="136" applyNumberFormat="1" applyFont="1" applyBorder="1" applyAlignment="1">
      <alignment horizontal="center"/>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0" fillId="0" borderId="0" xfId="136" applyNumberFormat="1" applyFont="1" applyAlignment="1">
      <alignment/>
      <protection/>
    </xf>
    <xf numFmtId="49" fontId="7" fillId="0" borderId="11" xfId="136" applyNumberFormat="1" applyFont="1" applyFill="1" applyBorder="1" applyAlignment="1">
      <alignment horizontal="center" vertical="center" wrapText="1"/>
      <protection/>
    </xf>
    <xf numFmtId="49" fontId="37" fillId="0" borderId="0" xfId="136" applyNumberFormat="1" applyFont="1" applyBorder="1" applyAlignment="1">
      <alignment horizontal="center"/>
      <protection/>
    </xf>
    <xf numFmtId="49" fontId="62" fillId="3" borderId="17" xfId="136" applyNumberFormat="1" applyFont="1" applyFill="1" applyBorder="1" applyAlignment="1">
      <alignment horizontal="center" wrapText="1"/>
      <protection/>
    </xf>
    <xf numFmtId="49" fontId="62" fillId="3" borderId="16" xfId="136" applyNumberFormat="1" applyFont="1" applyFill="1" applyBorder="1" applyAlignment="1">
      <alignment horizontal="center" wrapText="1"/>
      <protection/>
    </xf>
    <xf numFmtId="49" fontId="61" fillId="3" borderId="17" xfId="136" applyNumberFormat="1" applyFont="1" applyFill="1" applyBorder="1" applyAlignment="1">
      <alignment horizontal="center" wrapText="1"/>
      <protection/>
    </xf>
    <xf numFmtId="49" fontId="61" fillId="3" borderId="16" xfId="136" applyNumberFormat="1" applyFont="1" applyFill="1" applyBorder="1" applyAlignment="1">
      <alignment horizontal="center" wrapText="1"/>
      <protection/>
    </xf>
    <xf numFmtId="49" fontId="30" fillId="0" borderId="0" xfId="136" applyNumberFormat="1" applyFont="1" applyBorder="1" applyAlignment="1">
      <alignment horizontal="center"/>
      <protection/>
    </xf>
    <xf numFmtId="49" fontId="19" fillId="0" borderId="0" xfId="136" applyNumberFormat="1" applyFont="1" applyAlignment="1">
      <alignment horizontal="center" wrapText="1"/>
      <protection/>
    </xf>
    <xf numFmtId="49" fontId="23" fillId="0" borderId="13" xfId="136" applyNumberFormat="1" applyFont="1" applyBorder="1" applyAlignment="1">
      <alignment horizontal="left"/>
      <protection/>
    </xf>
    <xf numFmtId="49" fontId="23" fillId="0" borderId="0" xfId="136" applyNumberFormat="1" applyFont="1" applyAlignment="1">
      <alignment horizontal="center"/>
      <protection/>
    </xf>
    <xf numFmtId="49" fontId="23" fillId="0" borderId="0" xfId="136" applyNumberFormat="1" applyFont="1" applyBorder="1" applyAlignment="1">
      <alignment horizontal="left"/>
      <protection/>
    </xf>
    <xf numFmtId="49" fontId="12" fillId="0" borderId="26"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1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18" xfId="136" applyNumberFormat="1" applyFont="1" applyFill="1" applyBorder="1" applyAlignment="1">
      <alignment horizontal="center" vertical="center" wrapText="1"/>
      <protection/>
    </xf>
    <xf numFmtId="49" fontId="12" fillId="0" borderId="28" xfId="136" applyNumberFormat="1" applyFont="1" applyFill="1" applyBorder="1" applyAlignment="1">
      <alignment horizontal="center" vertical="center"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22" borderId="17" xfId="136" applyNumberFormat="1" applyFont="1" applyFill="1" applyBorder="1" applyAlignment="1">
      <alignment horizontal="center" vertical="center" wrapText="1"/>
      <protection/>
    </xf>
    <xf numFmtId="49" fontId="12" fillId="22" borderId="16" xfId="136" applyNumberFormat="1" applyFont="1" applyFill="1" applyBorder="1" applyAlignment="1">
      <alignment horizontal="center" vertical="center" wrapText="1"/>
      <protection/>
    </xf>
    <xf numFmtId="49" fontId="21" fillId="0" borderId="17" xfId="136" applyNumberFormat="1" applyFont="1" applyBorder="1" applyAlignment="1">
      <alignment horizontal="center" wrapText="1"/>
      <protection/>
    </xf>
    <xf numFmtId="49" fontId="21" fillId="0" borderId="16"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11" fillId="0" borderId="11" xfId="139" applyNumberFormat="1" applyFont="1" applyFill="1" applyBorder="1" applyAlignment="1">
      <alignment horizontal="center" vertical="center" wrapText="1"/>
      <protection/>
    </xf>
    <xf numFmtId="49" fontId="91" fillId="3" borderId="17" xfId="139" applyNumberFormat="1" applyFont="1" applyFill="1" applyBorder="1" applyAlignment="1">
      <alignment horizontal="center" vertical="center" wrapText="1"/>
      <protection/>
    </xf>
    <xf numFmtId="49" fontId="91" fillId="3" borderId="16" xfId="139" applyNumberFormat="1" applyFont="1" applyFill="1" applyBorder="1" applyAlignment="1">
      <alignment horizontal="center" vertical="center" wrapText="1"/>
      <protection/>
    </xf>
    <xf numFmtId="49" fontId="11" fillId="0" borderId="16" xfId="139" applyNumberFormat="1" applyFont="1" applyFill="1" applyBorder="1" applyAlignment="1">
      <alignment horizontal="center" vertical="center" wrapText="1"/>
      <protection/>
    </xf>
    <xf numFmtId="49" fontId="7"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15" xfId="139" applyNumberFormat="1" applyFont="1" applyFill="1" applyBorder="1" applyAlignment="1">
      <alignment horizontal="center" vertical="center"/>
      <protection/>
    </xf>
    <xf numFmtId="49" fontId="11" fillId="0" borderId="36" xfId="139" applyNumberFormat="1" applyFont="1" applyFill="1" applyBorder="1" applyAlignment="1">
      <alignment horizontal="center" vertical="center"/>
      <protection/>
    </xf>
    <xf numFmtId="49" fontId="11" fillId="0" borderId="18" xfId="139" applyNumberFormat="1" applyFont="1" applyFill="1" applyBorder="1" applyAlignment="1">
      <alignment horizontal="center" vertical="center"/>
      <protection/>
    </xf>
    <xf numFmtId="49" fontId="11" fillId="0" borderId="28"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17"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17" xfId="139" applyNumberFormat="1" applyFont="1" applyFill="1" applyBorder="1" applyAlignment="1">
      <alignment horizontal="center" vertical="center" wrapText="1"/>
      <protection/>
    </xf>
    <xf numFmtId="49" fontId="92" fillId="3" borderId="17" xfId="139" applyNumberFormat="1" applyFont="1" applyFill="1" applyBorder="1" applyAlignment="1">
      <alignment horizontal="center" vertical="center" wrapText="1"/>
      <protection/>
    </xf>
    <xf numFmtId="49" fontId="92" fillId="3" borderId="16"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24"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17" xfId="139" applyNumberFormat="1" applyFont="1" applyBorder="1" applyAlignment="1">
      <alignment horizontal="center" vertical="center" wrapText="1"/>
      <protection/>
    </xf>
    <xf numFmtId="49" fontId="11" fillId="0" borderId="16"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82" fillId="4" borderId="12" xfId="139" applyNumberFormat="1" applyFont="1" applyFill="1" applyBorder="1" applyAlignment="1">
      <alignment horizontal="center" vertical="center" wrapText="1"/>
      <protection/>
    </xf>
    <xf numFmtId="49" fontId="82" fillId="4" borderId="30" xfId="139" applyNumberFormat="1" applyFont="1" applyFill="1" applyBorder="1" applyAlignment="1">
      <alignment horizontal="center" vertical="center" wrapText="1"/>
      <protection/>
    </xf>
    <xf numFmtId="49" fontId="82" fillId="4" borderId="14"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17" xfId="139" applyNumberFormat="1" applyFont="1" applyBorder="1" applyAlignment="1">
      <alignment horizontal="center" vertical="center" wrapText="1"/>
      <protection/>
    </xf>
    <xf numFmtId="49" fontId="90" fillId="0" borderId="16"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12" xfId="139" applyNumberFormat="1" applyFont="1" applyFill="1" applyBorder="1" applyAlignment="1">
      <alignment horizontal="center" vertical="center" wrapText="1"/>
      <protection/>
    </xf>
    <xf numFmtId="49" fontId="11" fillId="0" borderId="30" xfId="139" applyNumberFormat="1" applyFont="1" applyFill="1" applyBorder="1" applyAlignment="1">
      <alignment horizontal="center" vertical="center" wrapText="1"/>
      <protection/>
    </xf>
    <xf numFmtId="49" fontId="11" fillId="0" borderId="14"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0" fontId="17" fillId="0" borderId="11" xfId="139" applyFont="1" applyBorder="1" applyAlignment="1">
      <alignment horizontal="center" vertical="center" wrapText="1"/>
      <protection/>
    </xf>
    <xf numFmtId="0" fontId="11" fillId="0" borderId="11" xfId="139" applyFont="1" applyBorder="1" applyAlignment="1">
      <alignment horizontal="center" vertical="center" wrapText="1"/>
      <protection/>
    </xf>
    <xf numFmtId="0" fontId="11" fillId="0" borderId="16" xfId="139" applyFont="1" applyBorder="1" applyAlignment="1">
      <alignment horizontal="center" vertical="center" wrapText="1"/>
      <protection/>
    </xf>
    <xf numFmtId="0" fontId="11" fillId="0" borderId="11" xfId="139" applyFont="1" applyBorder="1" applyAlignment="1">
      <alignment horizontal="center" vertical="center"/>
      <protection/>
    </xf>
    <xf numFmtId="0" fontId="19" fillId="0" borderId="0" xfId="139" applyFont="1" applyAlignment="1">
      <alignment horizontal="center"/>
      <protection/>
    </xf>
    <xf numFmtId="0" fontId="11" fillId="0" borderId="11" xfId="139" applyFont="1" applyFill="1" applyBorder="1" applyAlignment="1">
      <alignment horizontal="center" vertical="center" wrapText="1"/>
      <protection/>
    </xf>
    <xf numFmtId="0" fontId="39" fillId="0" borderId="0" xfId="139" applyFont="1" applyAlignment="1">
      <alignment horizontal="center"/>
      <protection/>
    </xf>
    <xf numFmtId="0" fontId="11" fillId="0" borderId="26" xfId="139" applyFont="1" applyBorder="1" applyAlignment="1">
      <alignment horizontal="center" vertical="center" wrapText="1"/>
      <protection/>
    </xf>
    <xf numFmtId="0" fontId="11" fillId="0" borderId="10" xfId="139" applyFont="1" applyBorder="1" applyAlignment="1">
      <alignment horizontal="center" vertical="center" wrapText="1"/>
      <protection/>
    </xf>
    <xf numFmtId="0" fontId="11" fillId="0" borderId="27" xfId="139" applyFont="1" applyBorder="1" applyAlignment="1">
      <alignment horizontal="center" vertical="center" wrapText="1"/>
      <protection/>
    </xf>
    <xf numFmtId="0" fontId="11" fillId="0" borderId="15"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3" fontId="0" fillId="24" borderId="0" xfId="139" applyNumberFormat="1" applyFont="1" applyFill="1" applyBorder="1" applyAlignment="1">
      <alignment horizontal="left"/>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0" fontId="18" fillId="0" borderId="13" xfId="139" applyFont="1" applyBorder="1" applyAlignment="1">
      <alignment horizontal="left"/>
      <protection/>
    </xf>
    <xf numFmtId="0" fontId="11" fillId="0" borderId="17" xfId="139" applyFont="1" applyBorder="1" applyAlignment="1">
      <alignment horizontal="center" vertical="center"/>
      <protection/>
    </xf>
    <xf numFmtId="0" fontId="11" fillId="0" borderId="37" xfId="139" applyFont="1" applyBorder="1" applyAlignment="1">
      <alignment horizontal="center" vertical="center"/>
      <protection/>
    </xf>
    <xf numFmtId="0" fontId="11" fillId="0" borderId="16" xfId="139" applyFont="1" applyBorder="1" applyAlignment="1">
      <alignment horizontal="center" vertic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73" fillId="3" borderId="17" xfId="139" applyFont="1" applyFill="1" applyBorder="1" applyAlignment="1">
      <alignment horizontal="center" vertical="center" wrapText="1"/>
      <protection/>
    </xf>
    <xf numFmtId="0" fontId="73" fillId="3" borderId="16"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74" fillId="3" borderId="17" xfId="139" applyFont="1" applyFill="1" applyBorder="1" applyAlignment="1">
      <alignment horizontal="center" vertical="center" wrapText="1"/>
      <protection/>
    </xf>
    <xf numFmtId="0" fontId="74" fillId="3" borderId="16" xfId="139" applyFont="1" applyFill="1" applyBorder="1" applyAlignment="1">
      <alignment horizontal="center" vertical="center" wrapText="1"/>
      <protection/>
    </xf>
    <xf numFmtId="0" fontId="94" fillId="0" borderId="0" xfId="139" applyFont="1" applyAlignment="1">
      <alignment horizontal="center"/>
      <protection/>
    </xf>
    <xf numFmtId="0" fontId="11" fillId="0" borderId="17" xfId="139" applyFont="1" applyBorder="1" applyAlignment="1">
      <alignment horizontal="center" vertical="center" wrapText="1"/>
      <protection/>
    </xf>
    <xf numFmtId="0" fontId="11" fillId="0" borderId="12" xfId="139" applyFont="1" applyBorder="1" applyAlignment="1">
      <alignment horizontal="center" vertical="center" wrapText="1"/>
      <protection/>
    </xf>
    <xf numFmtId="0" fontId="11" fillId="0" borderId="30" xfId="139" applyFont="1" applyBorder="1" applyAlignment="1">
      <alignment horizontal="center" vertical="center" wrapText="1"/>
      <protection/>
    </xf>
    <xf numFmtId="0" fontId="11" fillId="0" borderId="14" xfId="139" applyFont="1" applyBorder="1" applyAlignment="1">
      <alignment horizontal="center" vertical="center" wrapText="1"/>
      <protection/>
    </xf>
    <xf numFmtId="0" fontId="26" fillId="0" borderId="17" xfId="139" applyFont="1" applyBorder="1" applyAlignment="1">
      <alignment horizontal="center" vertical="center" wrapText="1"/>
      <protection/>
    </xf>
    <xf numFmtId="0" fontId="26" fillId="0" borderId="16" xfId="139" applyFont="1" applyBorder="1" applyAlignment="1">
      <alignment horizontal="center" vertical="center" wrapText="1"/>
      <protection/>
    </xf>
    <xf numFmtId="49" fontId="11" fillId="0" borderId="10"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13" xfId="139" applyNumberFormat="1" applyFont="1" applyFill="1" applyBorder="1" applyAlignment="1">
      <alignment horizontal="center" vertical="center"/>
      <protection/>
    </xf>
    <xf numFmtId="49" fontId="85" fillId="0" borderId="0" xfId="139" applyNumberFormat="1" applyFont="1" applyAlignment="1">
      <alignment horizontal="center"/>
      <protection/>
    </xf>
    <xf numFmtId="49" fontId="11" fillId="0" borderId="11" xfId="139" applyNumberFormat="1" applyFont="1" applyFill="1" applyBorder="1" applyAlignment="1">
      <alignment horizontal="center" vertical="center"/>
      <protection/>
    </xf>
    <xf numFmtId="49" fontId="83" fillId="3" borderId="17" xfId="139" applyNumberFormat="1" applyFont="1" applyFill="1" applyBorder="1" applyAlignment="1">
      <alignment horizontal="center" vertical="center" wrapText="1"/>
      <protection/>
    </xf>
    <xf numFmtId="49" fontId="83" fillId="3" borderId="16" xfId="139" applyNumberFormat="1" applyFont="1" applyFill="1" applyBorder="1" applyAlignment="1">
      <alignment horizontal="center" vertical="center" wrapText="1"/>
      <protection/>
    </xf>
    <xf numFmtId="49" fontId="81" fillId="3" borderId="17" xfId="139" applyNumberFormat="1" applyFont="1" applyFill="1" applyBorder="1" applyAlignment="1">
      <alignment horizontal="center" vertical="center" wrapText="1"/>
      <protection/>
    </xf>
    <xf numFmtId="49" fontId="81" fillId="3" borderId="16" xfId="139" applyNumberFormat="1" applyFont="1" applyFill="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24" borderId="0" xfId="139" applyNumberFormat="1" applyFont="1" applyFill="1" applyBorder="1" applyAlignment="1">
      <alignment horizontal="left" vertical="top" wrapText="1"/>
      <protection/>
    </xf>
    <xf numFmtId="49" fontId="7" fillId="24"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24" fillId="0" borderId="13" xfId="139" applyNumberFormat="1" applyFont="1" applyBorder="1" applyAlignment="1">
      <alignment horizontal="center"/>
      <protection/>
    </xf>
    <xf numFmtId="49" fontId="80" fillId="0" borderId="11" xfId="139" applyNumberFormat="1" applyFont="1" applyBorder="1" applyAlignment="1">
      <alignment horizontal="center" vertical="center" wrapText="1"/>
      <protection/>
    </xf>
    <xf numFmtId="49" fontId="17" fillId="0" borderId="11" xfId="139" applyNumberFormat="1" applyFont="1" applyBorder="1" applyAlignment="1">
      <alignment horizontal="center" vertical="center" wrapText="1"/>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17" xfId="139" applyNumberFormat="1" applyFont="1" applyBorder="1" applyAlignment="1">
      <alignment horizontal="center" vertical="center" wrapText="1"/>
      <protection/>
    </xf>
    <xf numFmtId="49" fontId="12" fillId="0" borderId="16"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17" xfId="139" applyNumberFormat="1" applyFont="1" applyBorder="1" applyAlignment="1">
      <alignment horizontal="center" vertical="center" wrapText="1"/>
      <protection/>
    </xf>
    <xf numFmtId="49" fontId="24" fillId="0" borderId="16" xfId="139" applyNumberFormat="1" applyFont="1" applyBorder="1" applyAlignment="1">
      <alignment horizontal="center" vertical="center" wrapText="1"/>
      <protection/>
    </xf>
    <xf numFmtId="49" fontId="96" fillId="3" borderId="17" xfId="139" applyNumberFormat="1" applyFont="1" applyFill="1" applyBorder="1" applyAlignment="1">
      <alignment horizontal="center" vertical="center" wrapText="1"/>
      <protection/>
    </xf>
    <xf numFmtId="49" fontId="96" fillId="3" borderId="16" xfId="139" applyNumberFormat="1" applyFont="1" applyFill="1" applyBorder="1" applyAlignment="1">
      <alignment horizontal="center" vertical="center" wrapText="1"/>
      <protection/>
    </xf>
    <xf numFmtId="49" fontId="95" fillId="3" borderId="17" xfId="139" applyNumberFormat="1" applyFont="1" applyFill="1" applyBorder="1" applyAlignment="1">
      <alignment horizontal="center" vertical="center" wrapText="1"/>
      <protection/>
    </xf>
    <xf numFmtId="49" fontId="95" fillId="3" borderId="16" xfId="139" applyNumberFormat="1" applyFont="1" applyFill="1" applyBorder="1" applyAlignment="1">
      <alignment horizontal="center" vertical="center" wrapText="1"/>
      <protection/>
    </xf>
    <xf numFmtId="49" fontId="11" fillId="0" borderId="12" xfId="139" applyNumberFormat="1" applyFont="1" applyBorder="1" applyAlignment="1">
      <alignment horizontal="center" vertical="center" wrapText="1"/>
      <protection/>
    </xf>
    <xf numFmtId="49" fontId="11" fillId="0" borderId="14" xfId="139" applyNumberFormat="1" applyFont="1" applyBorder="1" applyAlignment="1">
      <alignment horizontal="center" vertical="center" wrapText="1"/>
      <protection/>
    </xf>
    <xf numFmtId="49" fontId="11" fillId="0" borderId="30" xfId="139" applyNumberFormat="1" applyFont="1" applyBorder="1" applyAlignment="1">
      <alignment horizontal="center" vertical="center" wrapText="1"/>
      <protection/>
    </xf>
    <xf numFmtId="49" fontId="11" fillId="0" borderId="37"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23" fillId="0" borderId="13" xfId="139" applyNumberFormat="1" applyFont="1" applyBorder="1" applyAlignment="1">
      <alignment horizontal="left"/>
      <protection/>
    </xf>
    <xf numFmtId="49" fontId="37" fillId="0" borderId="0" xfId="139" applyNumberFormat="1" applyFont="1" applyBorder="1" applyAlignment="1">
      <alignment horizontal="left" wrapText="1"/>
      <protection/>
    </xf>
    <xf numFmtId="49" fontId="23" fillId="0" borderId="0" xfId="139" applyNumberFormat="1" applyFont="1" applyFill="1" applyBorder="1" applyAlignment="1">
      <alignment horizontal="left"/>
      <protection/>
    </xf>
    <xf numFmtId="49" fontId="0" fillId="0" borderId="0" xfId="139" applyNumberFormat="1" applyFont="1" applyFill="1" applyAlignment="1">
      <alignment horizontal="left"/>
      <protection/>
    </xf>
    <xf numFmtId="49" fontId="18" fillId="0" borderId="13" xfId="139" applyNumberFormat="1" applyFont="1" applyFill="1" applyBorder="1" applyAlignment="1">
      <alignment horizontal="center" vertical="center"/>
      <protection/>
    </xf>
    <xf numFmtId="49" fontId="24" fillId="0" borderId="17" xfId="139" applyNumberFormat="1" applyFont="1" applyFill="1" applyBorder="1" applyAlignment="1">
      <alignment horizontal="center" vertical="center"/>
      <protection/>
    </xf>
    <xf numFmtId="49" fontId="24" fillId="0" borderId="16"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wrapText="1"/>
      <protection/>
    </xf>
    <xf numFmtId="49" fontId="11" fillId="0" borderId="18" xfId="139" applyNumberFormat="1" applyFont="1" applyFill="1" applyBorder="1" applyAlignment="1">
      <alignment horizontal="center" vertical="center" wrapText="1"/>
      <protection/>
    </xf>
    <xf numFmtId="49" fontId="11" fillId="0" borderId="28" xfId="139" applyNumberFormat="1" applyFont="1" applyFill="1" applyBorder="1" applyAlignment="1">
      <alignment horizontal="center" vertical="center" wrapText="1"/>
      <protection/>
    </xf>
    <xf numFmtId="0" fontId="88" fillId="0" borderId="37" xfId="139" applyFont="1" applyFill="1" applyBorder="1" applyAlignment="1">
      <alignment horizontal="center" vertical="center" wrapText="1"/>
      <protection/>
    </xf>
    <xf numFmtId="0" fontId="88" fillId="0" borderId="16" xfId="139" applyFont="1" applyFill="1" applyBorder="1" applyAlignment="1">
      <alignment horizontal="center" vertical="center" wrapText="1"/>
      <protection/>
    </xf>
    <xf numFmtId="49" fontId="11" fillId="24" borderId="17" xfId="139" applyNumberFormat="1" applyFont="1" applyFill="1" applyBorder="1" applyAlignment="1">
      <alignment horizontal="center" vertical="center"/>
      <protection/>
    </xf>
    <xf numFmtId="49" fontId="11" fillId="24" borderId="16" xfId="139" applyNumberFormat="1" applyFont="1" applyFill="1" applyBorder="1" applyAlignment="1">
      <alignment horizontal="center" vertical="center"/>
      <protection/>
    </xf>
    <xf numFmtId="49" fontId="34" fillId="0" borderId="0" xfId="139" applyNumberFormat="1" applyFont="1" applyAlignment="1">
      <alignment horizontal="center"/>
      <protection/>
    </xf>
    <xf numFmtId="49" fontId="11" fillId="0" borderId="26" xfId="139" applyNumberFormat="1" applyFont="1" applyFill="1" applyBorder="1" applyAlignment="1">
      <alignment horizontal="center" vertical="center" wrapText="1"/>
      <protection/>
    </xf>
    <xf numFmtId="49" fontId="11" fillId="0" borderId="27" xfId="139" applyNumberFormat="1" applyFont="1" applyFill="1" applyBorder="1" applyAlignment="1">
      <alignment horizontal="center" vertical="center" wrapText="1"/>
      <protection/>
    </xf>
    <xf numFmtId="49" fontId="11" fillId="0" borderId="15"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96" fillId="3" borderId="17" xfId="139" applyNumberFormat="1" applyFont="1" applyFill="1" applyBorder="1" applyAlignment="1">
      <alignment horizontal="center" vertical="center"/>
      <protection/>
    </xf>
    <xf numFmtId="49" fontId="96" fillId="3" borderId="16" xfId="139" applyNumberFormat="1" applyFont="1" applyFill="1" applyBorder="1" applyAlignment="1">
      <alignment horizontal="center" vertical="center"/>
      <protection/>
    </xf>
    <xf numFmtId="49" fontId="95" fillId="3" borderId="17" xfId="139" applyNumberFormat="1" applyFont="1" applyFill="1" applyBorder="1" applyAlignment="1">
      <alignment horizontal="center" vertical="center"/>
      <protection/>
    </xf>
    <xf numFmtId="49" fontId="95" fillId="3" borderId="16" xfId="139" applyNumberFormat="1" applyFont="1" applyFill="1" applyBorder="1" applyAlignment="1">
      <alignment horizontal="center" vertical="center"/>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0" fontId="12" fillId="0" borderId="11" xfId="139" applyFont="1" applyFill="1" applyBorder="1" applyAlignment="1">
      <alignment horizontal="center" vertical="center" wrapText="1"/>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34" fillId="24" borderId="0" xfId="139" applyFont="1" applyFill="1" applyBorder="1" applyAlignment="1">
      <alignment horizontal="center"/>
      <protection/>
    </xf>
    <xf numFmtId="49" fontId="12" fillId="0" borderId="26"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15" xfId="139" applyNumberFormat="1" applyFont="1" applyFill="1" applyBorder="1" applyAlignment="1">
      <alignment horizontal="center" vertical="center"/>
      <protection/>
    </xf>
    <xf numFmtId="49" fontId="12" fillId="0" borderId="36" xfId="139" applyNumberFormat="1" applyFont="1" applyFill="1" applyBorder="1" applyAlignment="1">
      <alignment horizontal="center" vertical="center"/>
      <protection/>
    </xf>
    <xf numFmtId="49" fontId="12" fillId="0" borderId="18" xfId="139" applyNumberFormat="1" applyFont="1" applyFill="1" applyBorder="1" applyAlignment="1">
      <alignment horizontal="center" vertical="center"/>
      <protection/>
    </xf>
    <xf numFmtId="49" fontId="12" fillId="0" borderId="28" xfId="139" applyNumberFormat="1" applyFont="1" applyFill="1" applyBorder="1" applyAlignment="1">
      <alignment horizontal="center" vertical="center"/>
      <protection/>
    </xf>
    <xf numFmtId="0" fontId="30" fillId="0" borderId="0" xfId="139" applyFont="1" applyAlignment="1">
      <alignment horizontal="center"/>
      <protection/>
    </xf>
    <xf numFmtId="49" fontId="30" fillId="24" borderId="38" xfId="0" applyNumberFormat="1" applyFont="1" applyFill="1" applyBorder="1" applyAlignment="1">
      <alignment horizontal="center" vertical="center"/>
    </xf>
    <xf numFmtId="49" fontId="30" fillId="24" borderId="39" xfId="0" applyNumberFormat="1" applyFont="1" applyFill="1" applyBorder="1" applyAlignment="1">
      <alignment horizontal="center" vertical="center"/>
    </xf>
    <xf numFmtId="49" fontId="106" fillId="24" borderId="17" xfId="0" applyNumberFormat="1" applyFont="1" applyFill="1" applyBorder="1" applyAlignment="1">
      <alignment horizontal="left"/>
    </xf>
    <xf numFmtId="49" fontId="106" fillId="24" borderId="37" xfId="0" applyNumberFormat="1" applyFont="1" applyFill="1" applyBorder="1" applyAlignment="1">
      <alignment horizontal="left"/>
    </xf>
    <xf numFmtId="49" fontId="106" fillId="24" borderId="16" xfId="0" applyNumberFormat="1" applyFont="1" applyFill="1" applyBorder="1" applyAlignment="1">
      <alignment horizontal="left"/>
    </xf>
    <xf numFmtId="0" fontId="0" fillId="28" borderId="13"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0"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0" borderId="17" xfId="0"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2" fontId="18" fillId="0" borderId="13" xfId="0" applyNumberFormat="1" applyFont="1" applyFill="1" applyBorder="1" applyAlignment="1">
      <alignment horizontal="left"/>
    </xf>
    <xf numFmtId="2" fontId="17" fillId="0" borderId="17" xfId="0" applyNumberFormat="1" applyFont="1" applyFill="1" applyBorder="1" applyAlignment="1">
      <alignment horizontal="center" vertical="center"/>
    </xf>
    <xf numFmtId="2" fontId="17" fillId="0" borderId="16" xfId="0" applyNumberFormat="1" applyFont="1" applyFill="1" applyBorder="1" applyAlignment="1">
      <alignment horizontal="center" vertical="center"/>
    </xf>
    <xf numFmtId="2" fontId="8" fillId="0" borderId="12"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1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2" fontId="12" fillId="0" borderId="28" xfId="0" applyNumberFormat="1" applyFont="1" applyFill="1" applyBorder="1" applyAlignment="1">
      <alignment horizontal="center" vertical="center" wrapText="1"/>
    </xf>
    <xf numFmtId="2" fontId="12" fillId="0" borderId="17" xfId="0" applyNumberFormat="1"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14" xfId="0" applyFont="1" applyFill="1" applyBorder="1" applyAlignment="1">
      <alignment horizontal="center" vertical="center"/>
    </xf>
    <xf numFmtId="2" fontId="8" fillId="0" borderId="18"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49" fontId="7" fillId="0" borderId="11" xfId="0" applyNumberFormat="1" applyFont="1" applyBorder="1" applyAlignment="1">
      <alignment horizontal="center"/>
    </xf>
    <xf numFmtId="49" fontId="19" fillId="0" borderId="11" xfId="0" applyNumberFormat="1" applyFont="1" applyBorder="1" applyAlignment="1">
      <alignment horizontal="center" wrapText="1"/>
    </xf>
    <xf numFmtId="49" fontId="19" fillId="0" borderId="11" xfId="0" applyNumberFormat="1" applyFont="1" applyBorder="1" applyAlignment="1">
      <alignment horizontal="center"/>
    </xf>
    <xf numFmtId="49" fontId="30" fillId="0" borderId="11" xfId="0" applyNumberFormat="1" applyFont="1" applyBorder="1" applyAlignment="1">
      <alignment horizontal="center"/>
    </xf>
    <xf numFmtId="49" fontId="30" fillId="0" borderId="17" xfId="0" applyNumberFormat="1" applyFont="1" applyBorder="1" applyAlignment="1">
      <alignment horizontal="center"/>
    </xf>
    <xf numFmtId="49" fontId="30" fillId="0" borderId="16"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17" xfId="0" applyNumberFormat="1" applyFont="1" applyBorder="1" applyAlignment="1">
      <alignment horizontal="center"/>
    </xf>
    <xf numFmtId="49" fontId="7" fillId="0" borderId="16" xfId="0" applyNumberFormat="1" applyFont="1" applyBorder="1" applyAlignment="1">
      <alignment horizontal="center"/>
    </xf>
    <xf numFmtId="2" fontId="8" fillId="0" borderId="11"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19" fillId="0" borderId="0" xfId="0" applyNumberFormat="1" applyFont="1" applyFill="1" applyAlignment="1">
      <alignment horizontal="center" vertical="center"/>
    </xf>
    <xf numFmtId="0" fontId="19" fillId="0" borderId="0" xfId="0" applyNumberFormat="1" applyFont="1" applyFill="1" applyBorder="1" applyAlignment="1">
      <alignment horizontal="center" vertical="center"/>
    </xf>
    <xf numFmtId="49" fontId="11" fillId="0" borderId="0" xfId="0" applyNumberFormat="1" applyFont="1" applyFill="1" applyAlignment="1">
      <alignment horizontal="center" wrapText="1"/>
    </xf>
    <xf numFmtId="49" fontId="11" fillId="0" borderId="0" xfId="0" applyNumberFormat="1" applyFont="1" applyFill="1" applyAlignment="1">
      <alignment horizontal="center"/>
    </xf>
    <xf numFmtId="49" fontId="11" fillId="0" borderId="17"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11" fillId="0" borderId="17" xfId="0" applyNumberFormat="1" applyFont="1" applyFill="1" applyBorder="1" applyAlignment="1">
      <alignment horizontal="center"/>
    </xf>
    <xf numFmtId="2" fontId="11" fillId="0" borderId="16" xfId="0" applyNumberFormat="1" applyFont="1" applyFill="1" applyBorder="1" applyAlignment="1">
      <alignment horizontal="center"/>
    </xf>
    <xf numFmtId="2" fontId="0" fillId="0" borderId="0" xfId="0" applyNumberFormat="1" applyFont="1" applyFill="1" applyBorder="1" applyAlignment="1">
      <alignment horizontal="center"/>
    </xf>
    <xf numFmtId="0" fontId="28" fillId="0" borderId="0" xfId="0" applyNumberFormat="1" applyFont="1" applyFill="1" applyBorder="1" applyAlignment="1">
      <alignment horizontal="center"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xf>
    <xf numFmtId="2" fontId="80" fillId="0" borderId="17" xfId="0" applyNumberFormat="1" applyFont="1" applyFill="1" applyBorder="1" applyAlignment="1">
      <alignment horizontal="center" vertical="center"/>
    </xf>
    <xf numFmtId="2" fontId="80" fillId="0" borderId="16" xfId="0" applyNumberFormat="1" applyFont="1" applyFill="1" applyBorder="1" applyAlignment="1">
      <alignment horizontal="center" vertical="center"/>
    </xf>
    <xf numFmtId="49" fontId="11" fillId="0" borderId="17" xfId="0" applyNumberFormat="1" applyFont="1" applyFill="1" applyBorder="1" applyAlignment="1">
      <alignment horizontal="center"/>
    </xf>
    <xf numFmtId="49" fontId="11" fillId="0" borderId="16" xfId="0" applyNumberFormat="1" applyFont="1" applyFill="1" applyBorder="1" applyAlignment="1">
      <alignment horizontal="center"/>
    </xf>
    <xf numFmtId="0" fontId="19" fillId="0" borderId="0" xfId="0" applyNumberFormat="1" applyFont="1" applyFill="1" applyAlignment="1">
      <alignment horizontal="center"/>
    </xf>
    <xf numFmtId="0" fontId="28" fillId="0" borderId="0" xfId="0" applyNumberFormat="1" applyFont="1" applyFill="1" applyBorder="1" applyAlignment="1">
      <alignment horizontal="center"/>
    </xf>
    <xf numFmtId="0" fontId="19" fillId="0" borderId="0" xfId="0" applyNumberFormat="1" applyFont="1" applyFill="1" applyBorder="1" applyAlignment="1">
      <alignment horizontal="center"/>
    </xf>
    <xf numFmtId="0" fontId="7" fillId="0" borderId="11" xfId="0" applyFont="1" applyFill="1" applyBorder="1" applyAlignment="1">
      <alignment horizontal="center"/>
    </xf>
    <xf numFmtId="0" fontId="20" fillId="0" borderId="0" xfId="0" applyNumberFormat="1" applyFont="1" applyFill="1" applyAlignment="1">
      <alignment horizontal="center" wrapText="1"/>
    </xf>
    <xf numFmtId="0" fontId="12" fillId="0" borderId="11"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31" fillId="0" borderId="18" xfId="0" applyNumberFormat="1" applyFont="1" applyFill="1" applyBorder="1" applyAlignment="1">
      <alignment horizontal="center" vertical="center" wrapText="1"/>
    </xf>
    <xf numFmtId="0" fontId="31" fillId="0" borderId="28"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28"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2" fontId="11" fillId="0" borderId="11" xfId="0" applyNumberFormat="1" applyFont="1" applyFill="1" applyBorder="1" applyAlignment="1">
      <alignment horizontal="center" vertical="center" wrapText="1"/>
    </xf>
    <xf numFmtId="0" fontId="28" fillId="0" borderId="10" xfId="0" applyFont="1" applyFill="1" applyBorder="1" applyAlignment="1">
      <alignment horizontal="center" wrapText="1"/>
    </xf>
    <xf numFmtId="0" fontId="12" fillId="0" borderId="1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09" fillId="0" borderId="13"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2"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8" fillId="0" borderId="0" xfId="0" applyNumberFormat="1" applyFont="1" applyFill="1" applyBorder="1" applyAlignment="1">
      <alignment horizontal="left" wrapText="1"/>
    </xf>
    <xf numFmtId="0" fontId="12" fillId="0" borderId="1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3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9" fillId="0" borderId="0" xfId="0" applyNumberFormat="1" applyFont="1" applyFill="1" applyBorder="1" applyAlignment="1">
      <alignment horizontal="center" wrapText="1"/>
    </xf>
    <xf numFmtId="0" fontId="7" fillId="0" borderId="0" xfId="0" applyFont="1" applyFill="1" applyAlignment="1">
      <alignment horizontal="center"/>
    </xf>
    <xf numFmtId="0" fontId="37" fillId="0" borderId="10"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6" fillId="0" borderId="0" xfId="0" applyFont="1" applyFill="1" applyBorder="1" applyAlignment="1">
      <alignment horizontal="center"/>
    </xf>
    <xf numFmtId="0" fontId="20" fillId="0" borderId="0" xfId="0" applyNumberFormat="1" applyFont="1" applyFill="1" applyAlignment="1">
      <alignment horizontal="center"/>
    </xf>
    <xf numFmtId="49" fontId="21" fillId="0" borderId="40"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horizontal="center" vertical="center" wrapText="1"/>
      <protection/>
    </xf>
    <xf numFmtId="49" fontId="11" fillId="20" borderId="17" xfId="0" applyNumberFormat="1" applyFont="1" applyFill="1" applyBorder="1" applyAlignment="1" applyProtection="1">
      <alignment horizontal="center" vertical="center" wrapText="1"/>
      <protection/>
    </xf>
    <xf numFmtId="49" fontId="11" fillId="20" borderId="16" xfId="0" applyNumberFormat="1" applyFont="1" applyFill="1" applyBorder="1" applyAlignment="1" applyProtection="1">
      <alignment horizontal="center" vertical="center" wrapText="1"/>
      <protection/>
    </xf>
    <xf numFmtId="0" fontId="28" fillId="0" borderId="1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0" fontId="11" fillId="0" borderId="11"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center" vertical="center" wrapText="1"/>
      <protection/>
    </xf>
    <xf numFmtId="0" fontId="28" fillId="0" borderId="10" xfId="0" applyNumberFormat="1" applyFont="1" applyFill="1" applyBorder="1" applyAlignment="1">
      <alignment horizontal="center" vertical="center"/>
    </xf>
    <xf numFmtId="49" fontId="19" fillId="0" borderId="0" xfId="0" applyNumberFormat="1" applyFont="1" applyFill="1" applyAlignment="1">
      <alignment horizontal="center"/>
    </xf>
    <xf numFmtId="49" fontId="19" fillId="0" borderId="0" xfId="0" applyNumberFormat="1" applyFont="1" applyFill="1" applyAlignment="1">
      <alignment horizontal="center" wrapText="1"/>
    </xf>
    <xf numFmtId="0" fontId="39" fillId="0" borderId="0" xfId="0" applyNumberFormat="1" applyFont="1" applyFill="1" applyAlignment="1">
      <alignment horizontal="center"/>
    </xf>
    <xf numFmtId="1" fontId="11" fillId="0" borderId="11" xfId="0" applyNumberFormat="1" applyFont="1" applyFill="1" applyBorder="1" applyAlignment="1">
      <alignment horizontal="center" vertical="center"/>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49" fontId="11" fillId="0" borderId="41" xfId="0" applyNumberFormat="1" applyFont="1" applyFill="1" applyBorder="1" applyAlignment="1">
      <alignment horizontal="center" vertical="center" wrapText="1"/>
    </xf>
    <xf numFmtId="1" fontId="11" fillId="0" borderId="41" xfId="0" applyNumberFormat="1" applyFont="1" applyFill="1" applyBorder="1" applyAlignment="1">
      <alignment horizontal="center" vertical="center"/>
    </xf>
    <xf numFmtId="49" fontId="23" fillId="0" borderId="42" xfId="0" applyNumberFormat="1" applyFont="1" applyFill="1" applyBorder="1" applyAlignment="1">
      <alignment horizont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10" fillId="0" borderId="43" xfId="0" applyNumberFormat="1" applyFont="1" applyFill="1" applyBorder="1" applyAlignment="1" applyProtection="1">
      <alignment horizontal="center" vertical="center" wrapText="1"/>
      <protection/>
    </xf>
    <xf numFmtId="49" fontId="10" fillId="0" borderId="29" xfId="0" applyNumberFormat="1" applyFont="1" applyFill="1" applyBorder="1" applyAlignment="1" applyProtection="1">
      <alignment horizontal="center" vertical="center" wrapText="1"/>
      <protection/>
    </xf>
    <xf numFmtId="49" fontId="11" fillId="0" borderId="41"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28" fillId="0" borderId="0" xfId="0" applyNumberFormat="1" applyFont="1" applyFill="1" applyBorder="1" applyAlignment="1">
      <alignment horizontal="center" wrapText="1"/>
    </xf>
    <xf numFmtId="49" fontId="31" fillId="20" borderId="17" xfId="0" applyNumberFormat="1" applyFont="1" applyFill="1" applyBorder="1" applyAlignment="1" applyProtection="1">
      <alignment horizontal="center" vertical="center" wrapText="1"/>
      <protection/>
    </xf>
    <xf numFmtId="49" fontId="31" fillId="20" borderId="16" xfId="0" applyNumberFormat="1" applyFont="1" applyFill="1" applyBorder="1" applyAlignment="1" applyProtection="1">
      <alignment horizontal="center" vertical="center" wrapText="1"/>
      <protection/>
    </xf>
    <xf numFmtId="0" fontId="11" fillId="0" borderId="44"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49" fontId="26" fillId="0" borderId="40" xfId="0" applyNumberFormat="1" applyFont="1" applyFill="1" applyBorder="1" applyAlignment="1" applyProtection="1">
      <alignment horizontal="center" vertical="center" wrapText="1"/>
      <protection/>
    </xf>
    <xf numFmtId="49" fontId="26" fillId="0" borderId="11" xfId="0" applyNumberFormat="1" applyFont="1" applyFill="1" applyBorder="1" applyAlignment="1" applyProtection="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0" fontId="20" fillId="0" borderId="0" xfId="0" applyNumberFormat="1" applyFont="1" applyFill="1" applyAlignment="1">
      <alignment horizontal="left"/>
    </xf>
    <xf numFmtId="49" fontId="19" fillId="0" borderId="0" xfId="137" applyNumberFormat="1" applyFont="1" applyFill="1" applyAlignment="1">
      <alignment horizontal="center" vertical="center" wrapText="1"/>
      <protection/>
    </xf>
    <xf numFmtId="0" fontId="12" fillId="0" borderId="0" xfId="137" applyNumberFormat="1" applyFont="1" applyFill="1" applyBorder="1" applyAlignment="1">
      <alignment horizontal="left" vertical="center" wrapText="1"/>
      <protection/>
    </xf>
    <xf numFmtId="0" fontId="39" fillId="0" borderId="0" xfId="137" applyNumberFormat="1" applyFont="1" applyFill="1" applyAlignment="1">
      <alignment horizontal="center"/>
      <protection/>
    </xf>
    <xf numFmtId="49" fontId="8" fillId="0" borderId="0" xfId="137" applyNumberFormat="1" applyFont="1" applyFill="1" applyBorder="1" applyAlignment="1">
      <alignment horizontal="left" vertical="center" wrapText="1"/>
      <protection/>
    </xf>
    <xf numFmtId="49" fontId="12" fillId="0" borderId="0" xfId="137" applyNumberFormat="1" applyFont="1" applyFill="1" applyBorder="1" applyAlignment="1">
      <alignment horizontal="left" vertical="center" wrapText="1"/>
      <protection/>
    </xf>
    <xf numFmtId="49" fontId="23" fillId="0" borderId="13" xfId="137" applyNumberFormat="1" applyFont="1" applyFill="1" applyBorder="1" applyAlignment="1">
      <alignment horizontal="center" vertical="center"/>
      <protection/>
    </xf>
    <xf numFmtId="0" fontId="10" fillId="0" borderId="26" xfId="137" applyNumberFormat="1" applyFont="1" applyFill="1" applyBorder="1" applyAlignment="1">
      <alignment horizontal="center" vertical="center" wrapText="1"/>
      <protection/>
    </xf>
    <xf numFmtId="0" fontId="10" fillId="0" borderId="27" xfId="137" applyNumberFormat="1" applyFont="1" applyFill="1" applyBorder="1" applyAlignment="1">
      <alignment horizontal="center" vertical="center" wrapText="1"/>
      <protection/>
    </xf>
    <xf numFmtId="0" fontId="10" fillId="0" borderId="1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49" fontId="10" fillId="0" borderId="37" xfId="137" applyNumberFormat="1" applyFont="1" applyFill="1" applyBorder="1" applyAlignment="1">
      <alignment horizontal="center" vertical="center" wrapText="1"/>
      <protection/>
    </xf>
    <xf numFmtId="49" fontId="10" fillId="0" borderId="16" xfId="137" applyNumberFormat="1" applyFont="1" applyFill="1" applyBorder="1" applyAlignment="1">
      <alignment horizontal="center" vertical="center" wrapText="1"/>
      <protection/>
    </xf>
    <xf numFmtId="49" fontId="32" fillId="0" borderId="16" xfId="137" applyNumberFormat="1" applyFont="1" applyFill="1" applyBorder="1" applyAlignment="1">
      <alignment horizontal="center" vertical="center" wrapText="1"/>
      <protection/>
    </xf>
    <xf numFmtId="0" fontId="26" fillId="0" borderId="11" xfId="137" applyNumberFormat="1" applyFont="1" applyFill="1" applyBorder="1" applyAlignment="1">
      <alignment horizontal="center" vertical="center" wrapText="1"/>
      <protection/>
    </xf>
    <xf numFmtId="0" fontId="7" fillId="20" borderId="17" xfId="0" applyNumberFormat="1" applyFont="1" applyFill="1" applyBorder="1" applyAlignment="1">
      <alignment horizontal="center" vertical="center"/>
    </xf>
    <xf numFmtId="0" fontId="7" fillId="20" borderId="16" xfId="0" applyNumberFormat="1" applyFont="1" applyFill="1" applyBorder="1" applyAlignment="1">
      <alignment horizontal="center" vertical="center"/>
    </xf>
    <xf numFmtId="41" fontId="19" fillId="0" borderId="0" xfId="137" applyNumberFormat="1" applyFont="1" applyFill="1" applyBorder="1" applyAlignment="1">
      <alignment horizontal="center" wrapText="1"/>
      <protection/>
    </xf>
    <xf numFmtId="0" fontId="19" fillId="0" borderId="0" xfId="137" applyNumberFormat="1" applyFont="1" applyFill="1" applyBorder="1" applyAlignment="1">
      <alignment horizontal="center" wrapText="1"/>
      <protection/>
    </xf>
    <xf numFmtId="0" fontId="19" fillId="0" borderId="0" xfId="137" applyNumberFormat="1" applyFont="1" applyFill="1" applyAlignment="1">
      <alignment horizontal="center"/>
      <protection/>
    </xf>
    <xf numFmtId="41" fontId="20" fillId="0" borderId="0" xfId="137" applyNumberFormat="1" applyFont="1" applyFill="1" applyAlignment="1">
      <alignment horizontal="center" wrapText="1"/>
      <protection/>
    </xf>
    <xf numFmtId="0" fontId="20" fillId="0" borderId="0" xfId="137" applyNumberFormat="1" applyFont="1" applyFill="1" applyAlignment="1">
      <alignment horizontal="center" wrapText="1"/>
      <protection/>
    </xf>
    <xf numFmtId="0" fontId="28" fillId="0" borderId="0" xfId="137" applyNumberFormat="1" applyFont="1" applyFill="1" applyBorder="1" applyAlignment="1">
      <alignment horizontal="center" wrapText="1"/>
      <protection/>
    </xf>
    <xf numFmtId="3" fontId="23" fillId="0" borderId="0" xfId="137" applyNumberFormat="1" applyFont="1" applyFill="1" applyBorder="1" applyAlignment="1">
      <alignment horizontal="center" vertical="center" wrapText="1"/>
      <protection/>
    </xf>
    <xf numFmtId="0" fontId="19" fillId="0" borderId="0" xfId="137" applyNumberFormat="1" applyFont="1" applyFill="1" applyBorder="1" applyAlignment="1">
      <alignment horizontal="center" vertical="center" wrapText="1"/>
      <protection/>
    </xf>
    <xf numFmtId="2" fontId="19" fillId="0" borderId="0" xfId="137" applyNumberFormat="1" applyFont="1" applyFill="1" applyBorder="1" applyAlignment="1">
      <alignment horizontal="center" vertical="center" wrapText="1"/>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49" fontId="23" fillId="0" borderId="0" xfId="137" applyNumberFormat="1" applyFont="1" applyFill="1" applyAlignment="1">
      <alignment horizontal="center"/>
      <protection/>
    </xf>
    <xf numFmtId="49" fontId="27" fillId="0" borderId="0" xfId="137" applyNumberFormat="1" applyFont="1" applyFill="1" applyAlignment="1">
      <alignment horizontal="center"/>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7" fillId="0" borderId="0" xfId="137" applyNumberFormat="1" applyFont="1" applyFill="1" applyBorder="1" applyAlignment="1">
      <alignment horizontal="left" wrapText="1"/>
      <protection/>
    </xf>
    <xf numFmtId="0" fontId="0" fillId="0" borderId="0" xfId="137" applyNumberFormat="1" applyFont="1" applyFill="1" applyBorder="1" applyAlignment="1">
      <alignment horizontal="left" wrapText="1"/>
      <protection/>
    </xf>
    <xf numFmtId="0" fontId="27" fillId="0" borderId="13" xfId="137" applyNumberFormat="1" applyFont="1" applyFill="1" applyBorder="1" applyAlignment="1">
      <alignment horizontal="center" vertical="center"/>
      <protection/>
    </xf>
    <xf numFmtId="49" fontId="23"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Alignment="1">
      <alignment horizontal="left"/>
      <protection/>
    </xf>
    <xf numFmtId="49" fontId="7" fillId="0" borderId="0" xfId="137" applyNumberFormat="1" applyFont="1" applyFill="1" applyAlignment="1">
      <alignment horizontal="center" vertical="top" wrapText="1"/>
      <protection/>
    </xf>
    <xf numFmtId="0" fontId="10" fillId="0" borderId="26" xfId="137" applyNumberFormat="1" applyFont="1" applyFill="1" applyBorder="1" applyAlignment="1">
      <alignment horizontal="center" vertical="center" wrapText="1"/>
      <protection/>
    </xf>
    <xf numFmtId="0" fontId="10" fillId="0" borderId="27" xfId="137" applyNumberFormat="1" applyFont="1" applyFill="1" applyBorder="1" applyAlignment="1">
      <alignment horizontal="center" vertical="center" wrapText="1"/>
      <protection/>
    </xf>
    <xf numFmtId="0" fontId="10" fillId="0" borderId="1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49" fontId="10" fillId="0" borderId="37"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49" fontId="10" fillId="0" borderId="16" xfId="137" applyNumberFormat="1" applyFont="1" applyFill="1" applyBorder="1" applyAlignment="1">
      <alignment horizontal="center" vertical="center" wrapText="1"/>
      <protection/>
    </xf>
    <xf numFmtId="49" fontId="10" fillId="0" borderId="13" xfId="137" applyNumberFormat="1" applyFont="1" applyFill="1" applyBorder="1" applyAlignment="1">
      <alignment horizontal="center" vertical="center" wrapText="1"/>
      <protection/>
    </xf>
    <xf numFmtId="0" fontId="12" fillId="20" borderId="17" xfId="0" applyNumberFormat="1" applyFont="1" applyFill="1" applyBorder="1" applyAlignment="1">
      <alignment horizontal="center"/>
    </xf>
    <xf numFmtId="0" fontId="12" fillId="20" borderId="16" xfId="0" applyNumberFormat="1" applyFont="1" applyFill="1" applyBorder="1" applyAlignment="1">
      <alignment horizontal="center"/>
    </xf>
    <xf numFmtId="49" fontId="10" fillId="0" borderId="11" xfId="137" applyNumberFormat="1" applyFont="1" applyFill="1" applyBorder="1" applyAlignment="1">
      <alignment horizontal="center"/>
      <protection/>
    </xf>
    <xf numFmtId="49" fontId="10" fillId="0" borderId="30" xfId="137" applyNumberFormat="1" applyFont="1" applyFill="1" applyBorder="1" applyAlignment="1">
      <alignment horizontal="center" vertical="center" wrapText="1"/>
      <protection/>
    </xf>
    <xf numFmtId="49" fontId="26" fillId="0" borderId="17" xfId="137" applyNumberFormat="1" applyFont="1" applyFill="1" applyBorder="1" applyAlignment="1">
      <alignment horizontal="center" vertical="center" wrapText="1"/>
      <protection/>
    </xf>
    <xf numFmtId="49" fontId="26" fillId="0" borderId="16" xfId="137" applyNumberFormat="1" applyFont="1" applyFill="1" applyBorder="1" applyAlignment="1">
      <alignment horizontal="center" vertical="center" wrapText="1"/>
      <protection/>
    </xf>
    <xf numFmtId="49" fontId="8" fillId="0" borderId="11" xfId="137" applyNumberFormat="1" applyFont="1" applyFill="1" applyBorder="1" applyAlignment="1">
      <alignment horizontal="center" vertical="center" wrapText="1"/>
      <protection/>
    </xf>
    <xf numFmtId="49" fontId="0" fillId="0" borderId="0" xfId="137" applyNumberFormat="1" applyFont="1" applyFill="1" applyAlignment="1">
      <alignment horizontal="left" wrapText="1"/>
      <protection/>
    </xf>
    <xf numFmtId="49" fontId="7" fillId="0" borderId="0" xfId="137" applyNumberFormat="1" applyFont="1" applyFill="1" applyAlignment="1">
      <alignment horizontal="left" wrapText="1"/>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23" fillId="0" borderId="13" xfId="137" applyNumberFormat="1" applyFont="1" applyFill="1" applyBorder="1" applyAlignment="1">
      <alignment horizontal="left"/>
      <protection/>
    </xf>
    <xf numFmtId="49" fontId="0" fillId="0" borderId="11" xfId="137" applyNumberFormat="1" applyFont="1" applyFill="1" applyBorder="1" applyAlignment="1">
      <alignment horizontal="center"/>
      <protection/>
    </xf>
    <xf numFmtId="49" fontId="0" fillId="0" borderId="11" xfId="137" applyNumberFormat="1" applyFont="1" applyFill="1" applyBorder="1" applyAlignment="1">
      <alignment horizontal="center" vertical="center"/>
      <protection/>
    </xf>
    <xf numFmtId="49" fontId="18" fillId="0" borderId="0" xfId="137" applyNumberFormat="1" applyFont="1" applyFill="1" applyBorder="1" applyAlignment="1">
      <alignment wrapText="1"/>
      <protection/>
    </xf>
    <xf numFmtId="0" fontId="19" fillId="0" borderId="0" xfId="137" applyFont="1" applyFill="1" applyAlignment="1">
      <alignment horizontal="center"/>
      <protection/>
    </xf>
    <xf numFmtId="49" fontId="21" fillId="0" borderId="11" xfId="137" applyNumberFormat="1" applyFont="1" applyFill="1" applyBorder="1" applyAlignment="1">
      <alignment horizontal="center" wrapText="1"/>
      <protection/>
    </xf>
    <xf numFmtId="0" fontId="12" fillId="20" borderId="17" xfId="0" applyNumberFormat="1" applyFont="1" applyFill="1" applyBorder="1" applyAlignment="1">
      <alignment horizontal="center" wrapText="1"/>
    </xf>
    <xf numFmtId="0" fontId="12" fillId="20" borderId="16" xfId="0" applyNumberFormat="1" applyFont="1" applyFill="1" applyBorder="1" applyAlignment="1">
      <alignment horizontal="center" wrapText="1"/>
    </xf>
    <xf numFmtId="0" fontId="28" fillId="0" borderId="0" xfId="137" applyNumberFormat="1" applyFont="1" applyFill="1" applyBorder="1" applyAlignment="1">
      <alignment horizontal="center"/>
      <protection/>
    </xf>
    <xf numFmtId="0" fontId="19" fillId="0" borderId="0" xfId="137" applyNumberFormat="1" applyFont="1" applyFill="1" applyBorder="1" applyAlignment="1">
      <alignment horizontal="center"/>
      <protection/>
    </xf>
    <xf numFmtId="49" fontId="19"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2" fontId="19" fillId="0" borderId="0" xfId="137" applyNumberFormat="1" applyFont="1" applyFill="1" applyAlignment="1">
      <alignment horizontal="center"/>
      <protection/>
    </xf>
    <xf numFmtId="49" fontId="19" fillId="0" borderId="0" xfId="140" applyNumberFormat="1" applyFont="1" applyFill="1" applyAlignment="1">
      <alignment horizontal="center" wrapText="1"/>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26" xfId="140" applyNumberFormat="1" applyFont="1" applyFill="1" applyBorder="1" applyAlignment="1">
      <alignment horizontal="center" vertical="center" wrapText="1" readingOrder="1"/>
      <protection/>
    </xf>
    <xf numFmtId="49" fontId="17" fillId="0" borderId="27" xfId="140" applyNumberFormat="1" applyFont="1" applyFill="1" applyBorder="1" applyAlignment="1">
      <alignment horizontal="center" vertical="center" wrapText="1" readingOrder="1"/>
      <protection/>
    </xf>
    <xf numFmtId="49" fontId="17" fillId="0" borderId="15" xfId="140" applyNumberFormat="1" applyFont="1" applyFill="1" applyBorder="1" applyAlignment="1">
      <alignment horizontal="center" vertical="center" wrapText="1" readingOrder="1"/>
      <protection/>
    </xf>
    <xf numFmtId="49" fontId="17" fillId="0" borderId="36" xfId="140" applyNumberFormat="1" applyFont="1" applyFill="1" applyBorder="1" applyAlignment="1">
      <alignment horizontal="center" vertical="center" wrapText="1" readingOrder="1"/>
      <protection/>
    </xf>
    <xf numFmtId="49" fontId="17" fillId="0" borderId="11" xfId="140" applyNumberFormat="1" applyFont="1" applyFill="1" applyBorder="1" applyAlignment="1">
      <alignment horizontal="center" vertical="center" wrapText="1" readingOrder="1"/>
      <protection/>
    </xf>
    <xf numFmtId="0" fontId="17" fillId="0" borderId="11" xfId="140" applyFont="1" applyFill="1" applyBorder="1" applyAlignment="1">
      <alignment horizontal="center" vertical="center" wrapText="1" readingOrder="1"/>
      <protection/>
    </xf>
    <xf numFmtId="49" fontId="11" fillId="20" borderId="17" xfId="139" applyNumberFormat="1" applyFont="1" applyFill="1" applyBorder="1" applyAlignment="1">
      <alignment horizontal="center" wrapText="1"/>
      <protection/>
    </xf>
    <xf numFmtId="49" fontId="11" fillId="20" borderId="16" xfId="139" applyNumberFormat="1" applyFont="1" applyFill="1" applyBorder="1" applyAlignment="1">
      <alignment horizontal="center" wrapText="1"/>
      <protection/>
    </xf>
    <xf numFmtId="0" fontId="28" fillId="0" borderId="0" xfId="140" applyNumberFormat="1" applyFont="1" applyFill="1" applyBorder="1" applyAlignment="1">
      <alignment horizontal="center" wrapText="1"/>
      <protection/>
    </xf>
    <xf numFmtId="0" fontId="28" fillId="0" borderId="10" xfId="140" applyNumberFormat="1" applyFont="1" applyFill="1" applyBorder="1" applyAlignment="1">
      <alignment horizontal="center"/>
      <protection/>
    </xf>
    <xf numFmtId="0" fontId="19" fillId="0" borderId="0" xfId="140" applyNumberFormat="1" applyFont="1" applyFill="1" applyBorder="1" applyAlignment="1">
      <alignment horizontal="center" wrapText="1"/>
      <protection/>
    </xf>
    <xf numFmtId="0" fontId="19" fillId="0" borderId="0" xfId="140" applyNumberFormat="1" applyFont="1" applyFill="1" applyBorder="1" applyAlignment="1">
      <alignment horizontal="center"/>
      <protection/>
    </xf>
    <xf numFmtId="49" fontId="17" fillId="0" borderId="0" xfId="140" applyNumberFormat="1" applyFont="1" applyFill="1" applyBorder="1" applyAlignment="1">
      <alignment horizontal="center" wrapText="1"/>
      <protection/>
    </xf>
    <xf numFmtId="49" fontId="18" fillId="0" borderId="0" xfId="140" applyNumberFormat="1" applyFont="1" applyFill="1" applyBorder="1" applyAlignment="1">
      <alignment horizontal="left" wrapText="1"/>
      <protection/>
    </xf>
    <xf numFmtId="0" fontId="20" fillId="0" borderId="0" xfId="140" applyNumberFormat="1" applyFont="1" applyFill="1" applyAlignment="1">
      <alignment horizontal="center"/>
      <protection/>
    </xf>
    <xf numFmtId="0" fontId="111" fillId="0" borderId="0" xfId="140" applyNumberFormat="1" applyFont="1" applyFill="1" applyAlignment="1">
      <alignment horizontal="center"/>
      <protection/>
    </xf>
    <xf numFmtId="0" fontId="141" fillId="0" borderId="0" xfId="140" applyNumberFormat="1" applyFont="1" applyFill="1" applyAlignment="1">
      <alignment horizontal="center"/>
      <protection/>
    </xf>
    <xf numFmtId="0" fontId="19" fillId="0" borderId="0" xfId="140" applyNumberFormat="1" applyFont="1" applyFill="1" applyAlignment="1">
      <alignment horizontal="center" wrapText="1"/>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7" fillId="0" borderId="0" xfId="140" applyFont="1" applyFill="1" applyBorder="1" applyAlignment="1">
      <alignment horizontal="left"/>
      <protection/>
    </xf>
    <xf numFmtId="0" fontId="39" fillId="0" borderId="0" xfId="140" applyFont="1" applyFill="1" applyAlignment="1">
      <alignment horizontal="center"/>
      <protection/>
    </xf>
    <xf numFmtId="0" fontId="28" fillId="0" borderId="0" xfId="140" applyFont="1" applyFill="1" applyAlignment="1">
      <alignment horizontal="center"/>
      <protection/>
    </xf>
    <xf numFmtId="49" fontId="11" fillId="0" borderId="26"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1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0" fontId="31" fillId="0" borderId="11" xfId="140" applyFont="1" applyFill="1" applyBorder="1" applyAlignment="1">
      <alignment horizontal="center" vertical="center" wrapText="1"/>
      <protection/>
    </xf>
    <xf numFmtId="0" fontId="31" fillId="0" borderId="11" xfId="140" applyFont="1" applyFill="1" applyBorder="1" applyAlignment="1">
      <alignment horizontal="center" vertical="center"/>
      <protection/>
    </xf>
    <xf numFmtId="0" fontId="88" fillId="0" borderId="11" xfId="140" applyFont="1" applyFill="1" applyBorder="1" applyAlignment="1">
      <alignment horizontal="center" vertical="center"/>
      <protection/>
    </xf>
    <xf numFmtId="0" fontId="112" fillId="0" borderId="11" xfId="140" applyFont="1" applyFill="1" applyBorder="1" applyAlignment="1">
      <alignment horizontal="center" vertical="center"/>
      <protection/>
    </xf>
    <xf numFmtId="0" fontId="17" fillId="20" borderId="17" xfId="139" applyFont="1" applyFill="1" applyBorder="1" applyAlignment="1">
      <alignment horizontal="center" vertical="center" wrapText="1"/>
      <protection/>
    </xf>
    <xf numFmtId="0" fontId="17" fillId="20" borderId="16" xfId="139" applyFont="1" applyFill="1" applyBorder="1" applyAlignment="1">
      <alignment horizontal="center" vertical="center" wrapText="1"/>
      <protection/>
    </xf>
    <xf numFmtId="0" fontId="28" fillId="0" borderId="0" xfId="140" applyFont="1" applyFill="1" applyBorder="1" applyAlignment="1">
      <alignment horizontal="center" wrapText="1"/>
      <protection/>
    </xf>
    <xf numFmtId="0" fontId="19" fillId="0" borderId="0" xfId="140" applyFont="1" applyFill="1" applyBorder="1" applyAlignment="1">
      <alignment horizontal="center" wrapText="1"/>
      <protection/>
    </xf>
    <xf numFmtId="0" fontId="17" fillId="0" borderId="0" xfId="140" applyFont="1" applyFill="1" applyBorder="1" applyAlignment="1">
      <alignment horizontal="center" wrapText="1"/>
      <protection/>
    </xf>
    <xf numFmtId="49" fontId="24" fillId="0" borderId="0" xfId="140" applyNumberFormat="1" applyFont="1" applyFill="1" applyBorder="1" applyAlignment="1">
      <alignment horizontal="left" wrapText="1"/>
      <protection/>
    </xf>
    <xf numFmtId="49" fontId="20" fillId="0" borderId="0" xfId="140" applyNumberFormat="1" applyFont="1" applyFill="1" applyAlignment="1">
      <alignment horizontal="center"/>
      <protection/>
    </xf>
    <xf numFmtId="0" fontId="19" fillId="0" borderId="0" xfId="140" applyFont="1" applyFill="1" applyBorder="1" applyAlignment="1">
      <alignment horizontal="center"/>
      <protection/>
    </xf>
    <xf numFmtId="0" fontId="111" fillId="0" borderId="0" xfId="140" applyFont="1" applyFill="1" applyAlignment="1">
      <alignment horizontal="center"/>
      <protection/>
    </xf>
    <xf numFmtId="49" fontId="11" fillId="0" borderId="1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1" fillId="0" borderId="17" xfId="140" applyNumberFormat="1" applyFont="1" applyFill="1" applyBorder="1" applyAlignment="1">
      <alignment horizontal="center" vertical="center" wrapText="1"/>
      <protection/>
    </xf>
    <xf numFmtId="49" fontId="18" fillId="0" borderId="0" xfId="140" applyNumberFormat="1" applyFont="1" applyFill="1" applyAlignment="1">
      <alignment horizontal="center"/>
      <protection/>
    </xf>
    <xf numFmtId="49" fontId="17" fillId="0" borderId="12" xfId="140" applyNumberFormat="1" applyFont="1" applyFill="1" applyBorder="1" applyAlignment="1">
      <alignment horizontal="center" vertical="center" wrapText="1"/>
      <protection/>
    </xf>
    <xf numFmtId="49" fontId="17" fillId="0" borderId="30" xfId="140" applyNumberFormat="1" applyFont="1" applyFill="1" applyBorder="1" applyAlignment="1">
      <alignment horizontal="center" vertical="center" wrapText="1"/>
      <protection/>
    </xf>
    <xf numFmtId="49" fontId="90" fillId="0" borderId="17" xfId="140" applyNumberFormat="1" applyFont="1" applyFill="1" applyBorder="1" applyAlignment="1">
      <alignment horizontal="center" vertical="center" wrapText="1"/>
      <protection/>
    </xf>
    <xf numFmtId="49" fontId="90" fillId="0" borderId="16" xfId="140" applyNumberFormat="1" applyFont="1" applyFill="1" applyBorder="1" applyAlignment="1">
      <alignment horizontal="center" vertical="center" wrapText="1"/>
      <protection/>
    </xf>
    <xf numFmtId="49" fontId="11" fillId="20" borderId="17" xfId="139" applyNumberFormat="1" applyFont="1" applyFill="1" applyBorder="1" applyAlignment="1">
      <alignment horizontal="center" vertical="center" wrapText="1"/>
      <protection/>
    </xf>
    <xf numFmtId="49" fontId="11" fillId="20" borderId="16" xfId="139" applyNumberFormat="1" applyFont="1" applyFill="1" applyBorder="1" applyAlignment="1">
      <alignment horizontal="center" vertical="center" wrapText="1"/>
      <protection/>
    </xf>
    <xf numFmtId="49" fontId="19" fillId="0" borderId="0" xfId="140" applyNumberFormat="1" applyFont="1" applyFill="1" applyAlignment="1">
      <alignment horizontal="center"/>
      <protection/>
    </xf>
    <xf numFmtId="0" fontId="7" fillId="0" borderId="0" xfId="140" applyNumberFormat="1" applyFont="1" applyFill="1" applyBorder="1" applyAlignment="1">
      <alignment horizontal="left"/>
      <protection/>
    </xf>
    <xf numFmtId="49" fontId="11" fillId="0" borderId="11" xfId="140" applyNumberFormat="1" applyFont="1" applyFill="1" applyBorder="1" applyAlignment="1">
      <alignment horizontal="center" vertical="center" wrapText="1"/>
      <protection/>
    </xf>
    <xf numFmtId="49" fontId="11" fillId="0" borderId="18" xfId="140" applyNumberFormat="1" applyFont="1" applyFill="1" applyBorder="1" applyAlignment="1">
      <alignment horizontal="center" vertical="center"/>
      <protection/>
    </xf>
    <xf numFmtId="49" fontId="11" fillId="0" borderId="28" xfId="140" applyNumberFormat="1" applyFont="1" applyFill="1" applyBorder="1" applyAlignment="1">
      <alignment horizontal="center" vertical="center"/>
      <protection/>
    </xf>
    <xf numFmtId="49" fontId="19" fillId="0" borderId="0" xfId="140" applyNumberFormat="1" applyFont="1" applyFill="1" applyBorder="1" applyAlignment="1">
      <alignment horizontal="center" wrapText="1"/>
      <protection/>
    </xf>
    <xf numFmtId="49" fontId="28" fillId="0" borderId="0" xfId="140" applyNumberFormat="1" applyFont="1" applyFill="1" applyAlignment="1">
      <alignment horizontal="center"/>
      <protection/>
    </xf>
    <xf numFmtId="49" fontId="28" fillId="0" borderId="0" xfId="140" applyNumberFormat="1" applyFont="1" applyFill="1" applyBorder="1" applyAlignment="1">
      <alignment horizontal="center" wrapText="1"/>
      <protection/>
    </xf>
    <xf numFmtId="0" fontId="28" fillId="0" borderId="0" xfId="140" applyNumberFormat="1" applyFont="1" applyFill="1" applyBorder="1" applyAlignment="1">
      <alignment horizontal="center"/>
      <protection/>
    </xf>
    <xf numFmtId="49" fontId="11" fillId="0" borderId="12" xfId="140" applyNumberFormat="1" applyFont="1" applyFill="1" applyBorder="1" applyAlignment="1">
      <alignment horizontal="center" vertical="center" wrapText="1"/>
      <protection/>
    </xf>
    <xf numFmtId="49" fontId="11" fillId="0" borderId="30" xfId="140" applyNumberFormat="1" applyFont="1" applyFill="1" applyBorder="1" applyAlignment="1">
      <alignment horizontal="center" vertical="center" wrapText="1"/>
      <protection/>
    </xf>
    <xf numFmtId="49" fontId="11" fillId="0" borderId="14" xfId="140" applyNumberFormat="1" applyFont="1" applyFill="1" applyBorder="1" applyAlignment="1">
      <alignment horizontal="center" vertical="center" wrapText="1"/>
      <protection/>
    </xf>
    <xf numFmtId="49" fontId="11" fillId="0" borderId="16" xfId="140" applyNumberFormat="1" applyFont="1" applyFill="1" applyBorder="1" applyAlignment="1">
      <alignment horizontal="center" vertical="center" wrapText="1"/>
      <protection/>
    </xf>
    <xf numFmtId="0" fontId="0" fillId="0" borderId="0" xfId="140" applyFont="1" applyFill="1" applyBorder="1" applyAlignment="1">
      <alignment horizontal="left"/>
      <protection/>
    </xf>
    <xf numFmtId="0" fontId="19" fillId="0" borderId="0" xfId="140" applyFont="1" applyFill="1" applyAlignment="1">
      <alignment horizontal="center"/>
      <protection/>
    </xf>
    <xf numFmtId="3" fontId="0" fillId="0" borderId="0" xfId="140" applyNumberFormat="1" applyFont="1" applyFill="1" applyBorder="1" applyAlignment="1">
      <alignment horizontal="left"/>
      <protection/>
    </xf>
    <xf numFmtId="0" fontId="19" fillId="0" borderId="0" xfId="140" applyFont="1" applyFill="1" applyAlignment="1">
      <alignment horizontal="center" wrapText="1"/>
      <protection/>
    </xf>
    <xf numFmtId="0" fontId="11" fillId="0" borderId="16" xfId="140" applyFont="1" applyFill="1" applyBorder="1" applyAlignment="1">
      <alignment horizontal="center" vertical="center" wrapText="1"/>
      <protection/>
    </xf>
    <xf numFmtId="0" fontId="11" fillId="0" borderId="11" xfId="140" applyFont="1" applyFill="1" applyBorder="1" applyAlignment="1">
      <alignment horizontal="center" vertical="center"/>
      <protection/>
    </xf>
    <xf numFmtId="0" fontId="11" fillId="0" borderId="11" xfId="140" applyFont="1" applyFill="1" applyBorder="1" applyAlignment="1">
      <alignment horizontal="center" vertical="center" wrapText="1"/>
      <protection/>
    </xf>
    <xf numFmtId="0" fontId="17" fillId="0" borderId="11" xfId="140" applyFont="1" applyFill="1" applyBorder="1" applyAlignment="1">
      <alignment horizontal="center" vertical="center" wrapText="1"/>
      <protection/>
    </xf>
    <xf numFmtId="49" fontId="11" fillId="0" borderId="10"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13" xfId="140" applyNumberFormat="1" applyFont="1" applyFill="1" applyBorder="1" applyAlignment="1">
      <alignment horizontal="center" vertical="center"/>
      <protection/>
    </xf>
    <xf numFmtId="0" fontId="11" fillId="0" borderId="12" xfId="140" applyFont="1" applyFill="1" applyBorder="1" applyAlignment="1">
      <alignment horizontal="center" vertical="center" wrapText="1"/>
      <protection/>
    </xf>
    <xf numFmtId="0" fontId="11" fillId="0" borderId="30" xfId="140" applyFont="1" applyFill="1" applyBorder="1" applyAlignment="1">
      <alignment horizontal="center" vertical="center" wrapText="1"/>
      <protection/>
    </xf>
    <xf numFmtId="0" fontId="11" fillId="0" borderId="14" xfId="140" applyFont="1" applyFill="1" applyBorder="1" applyAlignment="1">
      <alignment horizontal="center" vertical="center" wrapText="1"/>
      <protection/>
    </xf>
    <xf numFmtId="0" fontId="11" fillId="0" borderId="17" xfId="140" applyFont="1" applyFill="1" applyBorder="1" applyAlignment="1">
      <alignment horizontal="center" vertical="center"/>
      <protection/>
    </xf>
    <xf numFmtId="0" fontId="11" fillId="0" borderId="37" xfId="140" applyFont="1" applyFill="1" applyBorder="1" applyAlignment="1">
      <alignment horizontal="center" vertical="center"/>
      <protection/>
    </xf>
    <xf numFmtId="0" fontId="11" fillId="0" borderId="16" xfId="140" applyFont="1" applyFill="1" applyBorder="1" applyAlignment="1">
      <alignment horizontal="center" vertical="center"/>
      <protection/>
    </xf>
    <xf numFmtId="0" fontId="11" fillId="0" borderId="26" xfId="140" applyFont="1" applyFill="1" applyBorder="1" applyAlignment="1">
      <alignment horizontal="center" vertical="center" wrapText="1"/>
      <protection/>
    </xf>
    <xf numFmtId="0" fontId="11" fillId="0" borderId="10" xfId="140" applyFont="1" applyFill="1" applyBorder="1" applyAlignment="1">
      <alignment horizontal="center" vertical="center" wrapText="1"/>
      <protection/>
    </xf>
    <xf numFmtId="0" fontId="11" fillId="0" borderId="27" xfId="140" applyFont="1" applyFill="1" applyBorder="1" applyAlignment="1">
      <alignment horizontal="center" vertical="center" wrapText="1"/>
      <protection/>
    </xf>
    <xf numFmtId="0" fontId="11" fillId="0" borderId="15" xfId="140" applyFont="1" applyFill="1" applyBorder="1" applyAlignment="1">
      <alignment horizontal="center" vertical="center" wrapText="1"/>
      <protection/>
    </xf>
    <xf numFmtId="0" fontId="11" fillId="0" borderId="0" xfId="140" applyFont="1" applyFill="1" applyBorder="1" applyAlignment="1">
      <alignment horizontal="center" vertical="center" wrapText="1"/>
      <protection/>
    </xf>
    <xf numFmtId="0" fontId="11" fillId="0" borderId="36" xfId="140" applyFont="1" applyFill="1" applyBorder="1" applyAlignment="1">
      <alignment horizontal="center" vertical="center" wrapText="1"/>
      <protection/>
    </xf>
    <xf numFmtId="0" fontId="11" fillId="20" borderId="17" xfId="139" applyFont="1" applyFill="1" applyBorder="1" applyAlignment="1">
      <alignment horizontal="center" vertical="center" wrapText="1"/>
      <protection/>
    </xf>
    <xf numFmtId="0" fontId="11" fillId="20" borderId="16" xfId="139" applyFont="1" applyFill="1" applyBorder="1" applyAlignment="1">
      <alignment horizontal="center" vertical="center" wrapText="1"/>
      <protection/>
    </xf>
    <xf numFmtId="0" fontId="142" fillId="0" borderId="0" xfId="140" applyNumberFormat="1" applyFont="1" applyFill="1" applyAlignment="1">
      <alignment horizontal="center"/>
      <protection/>
    </xf>
    <xf numFmtId="0" fontId="26" fillId="0" borderId="17" xfId="140" applyFont="1" applyFill="1" applyBorder="1" applyAlignment="1">
      <alignment horizontal="center" vertical="center" wrapText="1"/>
      <protection/>
    </xf>
    <xf numFmtId="0" fontId="26" fillId="0" borderId="16" xfId="140" applyFont="1" applyFill="1" applyBorder="1" applyAlignment="1">
      <alignment horizontal="center" vertical="center" wrapText="1"/>
      <protection/>
    </xf>
    <xf numFmtId="0" fontId="7" fillId="0" borderId="0" xfId="140" applyNumberFormat="1" applyFont="1" applyFill="1" applyAlignment="1">
      <alignment horizontal="left"/>
      <protection/>
    </xf>
    <xf numFmtId="0" fontId="0" fillId="0" borderId="0" xfId="140" applyNumberFormat="1" applyFont="1" applyFill="1" applyBorder="1" applyAlignment="1">
      <alignment horizontal="left" vertical="top" wrapText="1"/>
      <protection/>
    </xf>
    <xf numFmtId="0" fontId="7" fillId="0" borderId="0" xfId="140" applyNumberFormat="1" applyFont="1" applyFill="1" applyBorder="1" applyAlignment="1">
      <alignment horizontal="left" vertical="top" wrapText="1"/>
      <protection/>
    </xf>
    <xf numFmtId="0" fontId="0" fillId="0" borderId="0" xfId="140" applyNumberFormat="1" applyFont="1" applyFill="1" applyBorder="1" applyAlignment="1">
      <alignment horizontal="justify" vertical="top" wrapText="1"/>
      <protection/>
    </xf>
    <xf numFmtId="0" fontId="0" fillId="0" borderId="0" xfId="140" applyNumberFormat="1" applyFont="1" applyFill="1" applyBorder="1" applyAlignment="1">
      <alignment horizontal="justify" vertical="top"/>
      <protection/>
    </xf>
    <xf numFmtId="0" fontId="0" fillId="0" borderId="0" xfId="140" applyNumberFormat="1" applyFont="1" applyFill="1" applyBorder="1" applyAlignment="1">
      <alignment horizontal="left" wrapText="1"/>
      <protection/>
    </xf>
    <xf numFmtId="0" fontId="0" fillId="0" borderId="0" xfId="140" applyNumberFormat="1" applyFont="1" applyFill="1" applyBorder="1" applyAlignment="1">
      <alignment horizontal="left"/>
      <protection/>
    </xf>
    <xf numFmtId="49" fontId="80" fillId="0" borderId="11" xfId="140" applyNumberFormat="1" applyFont="1" applyFill="1" applyBorder="1" applyAlignment="1">
      <alignment horizontal="center" vertical="center" wrapText="1"/>
      <protection/>
    </xf>
    <xf numFmtId="49" fontId="17" fillId="20" borderId="11" xfId="139" applyNumberFormat="1" applyFont="1" applyFill="1" applyBorder="1" applyAlignment="1">
      <alignment horizontal="center" vertical="center" wrapText="1"/>
      <protection/>
    </xf>
    <xf numFmtId="0" fontId="24" fillId="0" borderId="0" xfId="140" applyNumberFormat="1" applyFont="1" applyFill="1" applyBorder="1" applyAlignment="1">
      <alignment horizontal="center"/>
      <protection/>
    </xf>
    <xf numFmtId="49" fontId="11" fillId="0" borderId="11" xfId="140" applyNumberFormat="1" applyFont="1" applyFill="1" applyBorder="1" applyAlignment="1">
      <alignment horizontal="center" vertical="center"/>
      <protection/>
    </xf>
    <xf numFmtId="49" fontId="24" fillId="0" borderId="17" xfId="140" applyNumberFormat="1" applyFont="1" applyFill="1" applyBorder="1" applyAlignment="1">
      <alignment horizontal="center" vertical="center" wrapText="1"/>
      <protection/>
    </xf>
    <xf numFmtId="49" fontId="24" fillId="0" borderId="16" xfId="140" applyNumberFormat="1" applyFont="1" applyFill="1" applyBorder="1" applyAlignment="1">
      <alignment horizontal="center" vertical="center" wrapText="1"/>
      <protection/>
    </xf>
    <xf numFmtId="49" fontId="12" fillId="20" borderId="17" xfId="139" applyNumberFormat="1" applyFont="1" applyFill="1" applyBorder="1" applyAlignment="1">
      <alignment horizontal="center" vertical="center" wrapText="1"/>
      <protection/>
    </xf>
    <xf numFmtId="49" fontId="12" fillId="20" borderId="16" xfId="139" applyNumberFormat="1" applyFont="1" applyFill="1" applyBorder="1" applyAlignment="1">
      <alignment horizontal="center" vertical="center" wrapText="1"/>
      <protection/>
    </xf>
    <xf numFmtId="49" fontId="12" fillId="0" borderId="0" xfId="140" applyNumberFormat="1" applyFont="1" applyFill="1" applyAlignment="1">
      <alignment horizontal="left"/>
      <protection/>
    </xf>
    <xf numFmtId="49" fontId="0" fillId="0" borderId="0" xfId="0" applyNumberFormat="1" applyFont="1" applyBorder="1" applyAlignment="1">
      <alignment horizontal="left"/>
    </xf>
    <xf numFmtId="49" fontId="24" fillId="0" borderId="0" xfId="140" applyNumberFormat="1" applyFont="1" applyFill="1" applyAlignment="1">
      <alignment horizontal="center"/>
      <protection/>
    </xf>
    <xf numFmtId="0" fontId="7" fillId="0" borderId="0" xfId="140" applyNumberFormat="1" applyFont="1" applyFill="1" applyAlignment="1">
      <alignment horizontal="left"/>
      <protection/>
    </xf>
    <xf numFmtId="49" fontId="11" fillId="0" borderId="26" xfId="140" applyNumberFormat="1" applyFont="1" applyFill="1" applyBorder="1" applyAlignment="1">
      <alignment horizontal="center" vertical="center" wrapText="1"/>
      <protection/>
    </xf>
    <xf numFmtId="49" fontId="11" fillId="0" borderId="10"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0" fillId="0" borderId="0" xfId="140" applyNumberFormat="1" applyFont="1" applyFill="1" applyBorder="1" applyAlignment="1">
      <alignment horizontal="left"/>
      <protection/>
    </xf>
    <xf numFmtId="49" fontId="23" fillId="0" borderId="13" xfId="140" applyNumberFormat="1" applyFont="1" applyFill="1" applyBorder="1" applyAlignment="1">
      <alignment horizontal="left"/>
      <protection/>
    </xf>
    <xf numFmtId="49" fontId="28" fillId="0" borderId="10" xfId="140" applyNumberFormat="1" applyFont="1" applyFill="1" applyBorder="1" applyAlignment="1">
      <alignment horizontal="center" wrapText="1"/>
      <protection/>
    </xf>
    <xf numFmtId="0" fontId="28" fillId="0" borderId="32" xfId="140" applyNumberFormat="1" applyFont="1" applyFill="1" applyBorder="1" applyAlignment="1">
      <alignment horizontal="center"/>
      <protection/>
    </xf>
    <xf numFmtId="0" fontId="27" fillId="0" borderId="0" xfId="140" applyNumberFormat="1" applyFont="1" applyFill="1" applyBorder="1" applyAlignment="1">
      <alignment horizontal="center"/>
      <protection/>
    </xf>
    <xf numFmtId="0" fontId="88" fillId="0" borderId="37" xfId="140" applyFont="1" applyFill="1" applyBorder="1" applyAlignment="1">
      <alignment horizontal="center" vertical="center" wrapText="1"/>
      <protection/>
    </xf>
    <xf numFmtId="0" fontId="88" fillId="0" borderId="16" xfId="140" applyFont="1" applyFill="1" applyBorder="1" applyAlignment="1">
      <alignment horizontal="center" vertical="center" wrapText="1"/>
      <protection/>
    </xf>
    <xf numFmtId="49" fontId="0" fillId="0" borderId="0" xfId="140" applyNumberFormat="1" applyFont="1" applyFill="1" applyAlignment="1">
      <alignment horizontal="left"/>
      <protection/>
    </xf>
    <xf numFmtId="49" fontId="18" fillId="0" borderId="13" xfId="140" applyNumberFormat="1" applyFont="1" applyFill="1" applyBorder="1" applyAlignment="1">
      <alignment horizontal="center" vertical="center"/>
      <protection/>
    </xf>
    <xf numFmtId="49" fontId="11" fillId="0" borderId="1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18" xfId="140" applyNumberFormat="1" applyFont="1" applyFill="1" applyBorder="1" applyAlignment="1">
      <alignment horizontal="center" vertical="center" wrapText="1"/>
      <protection/>
    </xf>
    <xf numFmtId="49" fontId="11" fillId="0" borderId="28" xfId="140" applyNumberFormat="1" applyFont="1" applyFill="1" applyBorder="1" applyAlignment="1">
      <alignment horizontal="center" vertical="center" wrapText="1"/>
      <protection/>
    </xf>
    <xf numFmtId="49" fontId="24" fillId="0" borderId="17" xfId="140" applyNumberFormat="1" applyFont="1" applyFill="1" applyBorder="1" applyAlignment="1">
      <alignment horizontal="center" vertical="center"/>
      <protection/>
    </xf>
    <xf numFmtId="49" fontId="24" fillId="0" borderId="16" xfId="140" applyNumberFormat="1" applyFont="1" applyFill="1" applyBorder="1" applyAlignment="1">
      <alignment horizontal="center" vertical="center"/>
      <protection/>
    </xf>
    <xf numFmtId="49" fontId="11" fillId="20" borderId="17" xfId="139" applyNumberFormat="1" applyFont="1" applyFill="1" applyBorder="1" applyAlignment="1">
      <alignment horizontal="center" vertical="center"/>
      <protection/>
    </xf>
    <xf numFmtId="49" fontId="11" fillId="20" borderId="16" xfId="139" applyNumberFormat="1" applyFont="1" applyFill="1" applyBorder="1" applyAlignment="1">
      <alignment horizontal="center" vertical="center"/>
      <protection/>
    </xf>
    <xf numFmtId="0" fontId="28" fillId="0" borderId="32" xfId="140" applyFont="1" applyFill="1" applyBorder="1" applyAlignment="1">
      <alignment horizontal="center"/>
      <protection/>
    </xf>
    <xf numFmtId="0" fontId="30" fillId="0" borderId="0" xfId="140" applyNumberFormat="1" applyFont="1" applyFill="1" applyBorder="1" applyAlignment="1">
      <alignment horizontal="center"/>
      <protection/>
    </xf>
    <xf numFmtId="0" fontId="19" fillId="0" borderId="0" xfId="140" applyNumberFormat="1" applyFont="1" applyFill="1" applyAlignment="1">
      <alignment horizontal="center"/>
      <protection/>
    </xf>
    <xf numFmtId="0" fontId="11" fillId="20" borderId="17" xfId="139" applyFont="1" applyFill="1" applyBorder="1" applyAlignment="1">
      <alignment horizontal="center" wrapText="1"/>
      <protection/>
    </xf>
    <xf numFmtId="0" fontId="11" fillId="20" borderId="16" xfId="139" applyFont="1" applyFill="1" applyBorder="1" applyAlignment="1">
      <alignment horizontal="center" wrapText="1"/>
      <protection/>
    </xf>
    <xf numFmtId="0" fontId="18" fillId="0" borderId="0" xfId="140" applyFont="1" applyFill="1" applyAlignment="1">
      <alignment horizontal="center"/>
      <protection/>
    </xf>
    <xf numFmtId="0" fontId="30" fillId="0" borderId="0" xfId="140" applyNumberFormat="1" applyFont="1" applyFill="1" applyAlignment="1">
      <alignment horizontal="center"/>
      <protection/>
    </xf>
    <xf numFmtId="0" fontId="12" fillId="0" borderId="11" xfId="140" applyFont="1" applyFill="1" applyBorder="1" applyAlignment="1">
      <alignment horizontal="center" vertical="center" wrapText="1"/>
      <protection/>
    </xf>
    <xf numFmtId="49" fontId="12" fillId="0" borderId="26"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1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18" xfId="140" applyNumberFormat="1" applyFont="1" applyFill="1" applyBorder="1" applyAlignment="1">
      <alignment horizontal="center" vertical="center"/>
      <protection/>
    </xf>
    <xf numFmtId="49" fontId="12" fillId="0" borderId="28" xfId="140" applyNumberFormat="1" applyFont="1" applyFill="1" applyBorder="1" applyAlignment="1">
      <alignment horizontal="center" vertical="center"/>
      <protection/>
    </xf>
    <xf numFmtId="0" fontId="30" fillId="0" borderId="0" xfId="137" applyNumberFormat="1" applyFont="1" applyFill="1" applyAlignment="1">
      <alignment horizontal="center"/>
      <protection/>
    </xf>
    <xf numFmtId="0" fontId="30" fillId="0" borderId="0" xfId="140" applyNumberFormat="1" applyFont="1" applyFill="1" applyBorder="1" applyAlignment="1">
      <alignment horizontal="center" wrapText="1"/>
      <protection/>
    </xf>
    <xf numFmtId="0" fontId="37" fillId="0" borderId="0" xfId="140" applyNumberFormat="1" applyFont="1" applyFill="1" applyBorder="1" applyAlignment="1">
      <alignment horizontal="justify" vertical="justify"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0" fillId="0" borderId="0" xfId="140" applyNumberFormat="1" applyFont="1" applyFill="1" applyAlignment="1">
      <alignment horizontal="left"/>
      <protection/>
    </xf>
    <xf numFmtId="0" fontId="19" fillId="0" borderId="0" xfId="140" applyNumberFormat="1" applyFont="1" applyFill="1" applyAlignment="1">
      <alignment horizontal="center" vertical="center"/>
      <protection/>
    </xf>
    <xf numFmtId="0" fontId="23" fillId="0" borderId="0" xfId="140" applyNumberFormat="1" applyFont="1" applyFill="1" applyAlignment="1">
      <alignment horizontal="center" wrapText="1"/>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44" xfId="140" applyNumberFormat="1" applyFont="1" applyFill="1" applyBorder="1" applyAlignment="1">
      <alignment horizontal="center" vertical="center"/>
      <protection/>
    </xf>
    <xf numFmtId="49" fontId="12" fillId="0" borderId="41" xfId="140" applyNumberFormat="1" applyFont="1" applyFill="1" applyBorder="1" applyAlignment="1">
      <alignment horizontal="center" vertical="center"/>
      <protection/>
    </xf>
    <xf numFmtId="49" fontId="12" fillId="0" borderId="40" xfId="140" applyNumberFormat="1" applyFont="1" applyFill="1" applyBorder="1" applyAlignment="1">
      <alignment horizontal="center" vertical="center"/>
      <protection/>
    </xf>
    <xf numFmtId="49" fontId="12" fillId="0" borderId="11" xfId="140" applyNumberFormat="1" applyFont="1" applyFill="1" applyBorder="1" applyAlignment="1">
      <alignment horizontal="center" vertical="center"/>
      <protection/>
    </xf>
    <xf numFmtId="0" fontId="12" fillId="0" borderId="41" xfId="140" applyNumberFormat="1" applyFont="1" applyFill="1" applyBorder="1" applyAlignment="1">
      <alignment horizontal="center" vertical="center" wrapText="1"/>
      <protection/>
    </xf>
    <xf numFmtId="0" fontId="12" fillId="0" borderId="43" xfId="140" applyNumberFormat="1" applyFont="1" applyFill="1" applyBorder="1" applyAlignment="1">
      <alignment horizontal="center" vertical="center" wrapText="1"/>
      <protection/>
    </xf>
    <xf numFmtId="0" fontId="12" fillId="0" borderId="29" xfId="140" applyNumberFormat="1" applyFont="1" applyFill="1" applyBorder="1" applyAlignment="1">
      <alignment horizontal="center" vertical="center" wrapText="1"/>
      <protection/>
    </xf>
    <xf numFmtId="0" fontId="12" fillId="0" borderId="11" xfId="140" applyNumberFormat="1" applyFont="1" applyFill="1" applyBorder="1" applyAlignment="1">
      <alignment horizontal="center" vertical="center" wrapText="1"/>
      <protection/>
    </xf>
    <xf numFmtId="0" fontId="33" fillId="0" borderId="11" xfId="140" applyFont="1" applyFill="1" applyBorder="1" applyAlignment="1">
      <alignment horizontal="center" vertical="center"/>
      <protection/>
    </xf>
    <xf numFmtId="0" fontId="21" fillId="0" borderId="40" xfId="140" applyNumberFormat="1" applyFont="1" applyFill="1" applyBorder="1" applyAlignment="1">
      <alignment horizontal="center" wrapText="1"/>
      <protection/>
    </xf>
    <xf numFmtId="0" fontId="21" fillId="0" borderId="11" xfId="140" applyNumberFormat="1" applyFont="1" applyFill="1" applyBorder="1" applyAlignment="1">
      <alignment horizontal="center" wrapText="1"/>
      <protection/>
    </xf>
    <xf numFmtId="0" fontId="12" fillId="20" borderId="17" xfId="139" applyNumberFormat="1" applyFont="1" applyFill="1" applyBorder="1" applyAlignment="1">
      <alignment horizontal="center" wrapText="1"/>
      <protection/>
    </xf>
    <xf numFmtId="0" fontId="12" fillId="20" borderId="16" xfId="139" applyNumberFormat="1" applyFont="1" applyFill="1" applyBorder="1" applyAlignment="1">
      <alignment horizontal="center" wrapText="1"/>
      <protection/>
    </xf>
    <xf numFmtId="0" fontId="20" fillId="0" borderId="0" xfId="140" applyNumberFormat="1" applyFont="1" applyFill="1" applyBorder="1" applyAlignment="1">
      <alignment horizontal="center"/>
      <protection/>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764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6764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66900"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866900"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866900"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05000"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9050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9050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90725"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990725"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990725"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7628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6"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7"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8"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9"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0"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1"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2"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3"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4"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5"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6"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7"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8"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9"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0"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1"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2"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3"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4"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5"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6"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7"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8"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9"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6981825"/>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xdr:nvSpPr>
        <xdr:cNvPr id="1"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4"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5"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6"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7"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8"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9"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0"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11"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12"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3"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14"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15"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6"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17"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18"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9"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0"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21"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2"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3"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24"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5"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6"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27"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8"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9"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30"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31"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2"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33"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34"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5"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36" name="Text Box 7"/>
        <xdr:cNvSpPr txBox="1">
          <a:spLocks noChangeArrowheads="1"/>
        </xdr:cNvSpPr>
      </xdr:nvSpPr>
      <xdr:spPr>
        <a:xfrm>
          <a:off x="314325" y="67913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37" name="Text Box 1"/>
        <xdr:cNvSpPr txBox="1">
          <a:spLocks noChangeArrowheads="1"/>
        </xdr:cNvSpPr>
      </xdr:nvSpPr>
      <xdr:spPr>
        <a:xfrm>
          <a:off x="314325" y="67913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8" name="Text Box 1"/>
        <xdr:cNvSpPr txBox="1">
          <a:spLocks noChangeArrowheads="1"/>
        </xdr:cNvSpPr>
      </xdr:nvSpPr>
      <xdr:spPr>
        <a:xfrm>
          <a:off x="314325" y="6791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69818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69818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69818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2"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3"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4"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5"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6"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7"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8"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9"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10"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11"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12"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13"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247650"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276225"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621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621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1.vml" /><Relationship Id="rId3"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232" t="s">
        <v>28</v>
      </c>
      <c r="B1" s="1232"/>
      <c r="C1" s="1231" t="s">
        <v>91</v>
      </c>
      <c r="D1" s="1231"/>
      <c r="E1" s="1231"/>
      <c r="F1" s="1233" t="s">
        <v>87</v>
      </c>
      <c r="G1" s="1233"/>
      <c r="H1" s="1233"/>
    </row>
    <row r="2" spans="1:8" ht="33.75" customHeight="1">
      <c r="A2" s="1234" t="s">
        <v>95</v>
      </c>
      <c r="B2" s="1234"/>
      <c r="C2" s="1231"/>
      <c r="D2" s="1231"/>
      <c r="E2" s="1231"/>
      <c r="F2" s="1242" t="s">
        <v>88</v>
      </c>
      <c r="G2" s="1242"/>
      <c r="H2" s="1242"/>
    </row>
    <row r="3" spans="1:8" ht="19.5" customHeight="1">
      <c r="A3" s="9" t="s">
        <v>81</v>
      </c>
      <c r="B3" s="9"/>
      <c r="C3" s="27"/>
      <c r="D3" s="27"/>
      <c r="E3" s="27"/>
      <c r="F3" s="1242" t="s">
        <v>89</v>
      </c>
      <c r="G3" s="1242"/>
      <c r="H3" s="1242"/>
    </row>
    <row r="4" spans="1:8" s="10" customFormat="1" ht="19.5" customHeight="1">
      <c r="A4" s="9"/>
      <c r="B4" s="9"/>
      <c r="D4" s="11"/>
      <c r="F4" s="12" t="s">
        <v>90</v>
      </c>
      <c r="G4" s="12"/>
      <c r="H4" s="12"/>
    </row>
    <row r="5" spans="1:8" s="26" customFormat="1" ht="36" customHeight="1">
      <c r="A5" s="1256" t="s">
        <v>72</v>
      </c>
      <c r="B5" s="1257"/>
      <c r="C5" s="1250" t="s">
        <v>85</v>
      </c>
      <c r="D5" s="1251"/>
      <c r="E5" s="1252" t="s">
        <v>84</v>
      </c>
      <c r="F5" s="1252"/>
      <c r="G5" s="1252"/>
      <c r="H5" s="1245"/>
    </row>
    <row r="6" spans="1:8" s="26" customFormat="1" ht="20.25" customHeight="1">
      <c r="A6" s="1258"/>
      <c r="B6" s="1259"/>
      <c r="C6" s="1246" t="s">
        <v>3</v>
      </c>
      <c r="D6" s="1246" t="s">
        <v>92</v>
      </c>
      <c r="E6" s="1248" t="s">
        <v>86</v>
      </c>
      <c r="F6" s="1245"/>
      <c r="G6" s="1248" t="s">
        <v>93</v>
      </c>
      <c r="H6" s="1245"/>
    </row>
    <row r="7" spans="1:8" s="26" customFormat="1" ht="52.5" customHeight="1">
      <c r="A7" s="1258"/>
      <c r="B7" s="1259"/>
      <c r="C7" s="1247"/>
      <c r="D7" s="1247"/>
      <c r="E7" s="8" t="s">
        <v>3</v>
      </c>
      <c r="F7" s="8" t="s">
        <v>10</v>
      </c>
      <c r="G7" s="8" t="s">
        <v>3</v>
      </c>
      <c r="H7" s="8" t="s">
        <v>10</v>
      </c>
    </row>
    <row r="8" spans="1:8" ht="15" customHeight="1">
      <c r="A8" s="1243" t="s">
        <v>6</v>
      </c>
      <c r="B8" s="1244"/>
      <c r="C8" s="13">
        <v>1</v>
      </c>
      <c r="D8" s="13" t="s">
        <v>53</v>
      </c>
      <c r="E8" s="13" t="s">
        <v>58</v>
      </c>
      <c r="F8" s="13" t="s">
        <v>73</v>
      </c>
      <c r="G8" s="13" t="s">
        <v>74</v>
      </c>
      <c r="H8" s="13" t="s">
        <v>75</v>
      </c>
    </row>
    <row r="9" spans="1:8" ht="26.25" customHeight="1">
      <c r="A9" s="1238" t="s">
        <v>41</v>
      </c>
      <c r="B9" s="1239"/>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240" t="s">
        <v>68</v>
      </c>
      <c r="C16" s="1240"/>
      <c r="D16" s="29"/>
      <c r="E16" s="1253" t="s">
        <v>21</v>
      </c>
      <c r="F16" s="1253"/>
      <c r="G16" s="1253"/>
      <c r="H16" s="1253"/>
    </row>
    <row r="17" spans="2:8" ht="15.75" customHeight="1">
      <c r="B17" s="1240"/>
      <c r="C17" s="1240"/>
      <c r="D17" s="29"/>
      <c r="E17" s="1254" t="s">
        <v>46</v>
      </c>
      <c r="F17" s="1254"/>
      <c r="G17" s="1254"/>
      <c r="H17" s="1254"/>
    </row>
    <row r="18" spans="2:8" s="30" customFormat="1" ht="15.75" customHeight="1">
      <c r="B18" s="1240"/>
      <c r="C18" s="1240"/>
      <c r="D18" s="31"/>
      <c r="E18" s="1255" t="s">
        <v>67</v>
      </c>
      <c r="F18" s="1255"/>
      <c r="G18" s="1255"/>
      <c r="H18" s="1255"/>
    </row>
    <row r="20" ht="15.75">
      <c r="B20" s="22"/>
    </row>
    <row r="22" ht="15.75" hidden="1">
      <c r="A22" s="23" t="s">
        <v>49</v>
      </c>
    </row>
    <row r="23" spans="1:3" ht="15.75" hidden="1">
      <c r="A23" s="24"/>
      <c r="B23" s="1241" t="s">
        <v>59</v>
      </c>
      <c r="C23" s="1241"/>
    </row>
    <row r="24" spans="1:8" ht="15.75" customHeight="1" hidden="1">
      <c r="A24" s="25" t="s">
        <v>27</v>
      </c>
      <c r="B24" s="1249" t="s">
        <v>63</v>
      </c>
      <c r="C24" s="1249"/>
      <c r="D24" s="25"/>
      <c r="E24" s="25"/>
      <c r="F24" s="25"/>
      <c r="G24" s="25"/>
      <c r="H24" s="25"/>
    </row>
    <row r="25" spans="1:8" ht="15" customHeight="1" hidden="1">
      <c r="A25" s="25"/>
      <c r="B25" s="1249" t="s">
        <v>66</v>
      </c>
      <c r="C25" s="1249"/>
      <c r="D25" s="1249"/>
      <c r="E25" s="25"/>
      <c r="F25" s="25"/>
      <c r="G25" s="25"/>
      <c r="H25" s="25"/>
    </row>
    <row r="26" spans="2:3" ht="15.75">
      <c r="B26" s="26"/>
      <c r="C26" s="26"/>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367" t="s">
        <v>324</v>
      </c>
      <c r="B1" s="1367"/>
      <c r="C1" s="1367"/>
      <c r="D1" s="1370" t="s">
        <v>449</v>
      </c>
      <c r="E1" s="1370"/>
      <c r="F1" s="1370"/>
      <c r="G1" s="1370"/>
      <c r="H1" s="1370"/>
      <c r="I1" s="1370"/>
      <c r="J1" s="200" t="s">
        <v>450</v>
      </c>
      <c r="K1" s="331"/>
      <c r="L1" s="331"/>
    </row>
    <row r="2" spans="1:12" ht="18.75" customHeight="1">
      <c r="A2" s="1368" t="s">
        <v>408</v>
      </c>
      <c r="B2" s="1368"/>
      <c r="C2" s="1368"/>
      <c r="D2" s="1453" t="s">
        <v>325</v>
      </c>
      <c r="E2" s="1453"/>
      <c r="F2" s="1453"/>
      <c r="G2" s="1453"/>
      <c r="H2" s="1453"/>
      <c r="I2" s="1453"/>
      <c r="J2" s="1367" t="s">
        <v>451</v>
      </c>
      <c r="K2" s="1367"/>
      <c r="L2" s="1367"/>
    </row>
    <row r="3" spans="1:12" ht="17.25">
      <c r="A3" s="1368" t="s">
        <v>360</v>
      </c>
      <c r="B3" s="1368"/>
      <c r="C3" s="1368"/>
      <c r="D3" s="1454" t="s">
        <v>452</v>
      </c>
      <c r="E3" s="1455"/>
      <c r="F3" s="1455"/>
      <c r="G3" s="1455"/>
      <c r="H3" s="1455"/>
      <c r="I3" s="1455"/>
      <c r="J3" s="203" t="s">
        <v>468</v>
      </c>
      <c r="K3" s="203"/>
      <c r="L3" s="203"/>
    </row>
    <row r="4" spans="1:12" ht="15.75">
      <c r="A4" s="1457" t="s">
        <v>453</v>
      </c>
      <c r="B4" s="1457"/>
      <c r="C4" s="1457"/>
      <c r="D4" s="1458"/>
      <c r="E4" s="1458"/>
      <c r="F4" s="1458"/>
      <c r="G4" s="1458"/>
      <c r="H4" s="1458"/>
      <c r="I4" s="1458"/>
      <c r="J4" s="1365" t="s">
        <v>410</v>
      </c>
      <c r="K4" s="1365"/>
      <c r="L4" s="1365"/>
    </row>
    <row r="5" spans="1:13" ht="15.75">
      <c r="A5" s="333"/>
      <c r="B5" s="333"/>
      <c r="C5" s="334"/>
      <c r="D5" s="334"/>
      <c r="E5" s="202"/>
      <c r="J5" s="335" t="s">
        <v>454</v>
      </c>
      <c r="K5" s="250"/>
      <c r="L5" s="250"/>
      <c r="M5" s="250"/>
    </row>
    <row r="6" spans="1:13" s="338" customFormat="1" ht="24.75" customHeight="1">
      <c r="A6" s="1461" t="s">
        <v>72</v>
      </c>
      <c r="B6" s="1462"/>
      <c r="C6" s="1456" t="s">
        <v>455</v>
      </c>
      <c r="D6" s="1456"/>
      <c r="E6" s="1456"/>
      <c r="F6" s="1456"/>
      <c r="G6" s="1456"/>
      <c r="H6" s="1456"/>
      <c r="I6" s="1456" t="s">
        <v>326</v>
      </c>
      <c r="J6" s="1456"/>
      <c r="K6" s="1456"/>
      <c r="L6" s="1456"/>
      <c r="M6" s="337"/>
    </row>
    <row r="7" spans="1:13" s="338" customFormat="1" ht="17.25" customHeight="1">
      <c r="A7" s="1463"/>
      <c r="B7" s="1464"/>
      <c r="C7" s="1456" t="s">
        <v>38</v>
      </c>
      <c r="D7" s="1456"/>
      <c r="E7" s="1456" t="s">
        <v>7</v>
      </c>
      <c r="F7" s="1456"/>
      <c r="G7" s="1456"/>
      <c r="H7" s="1456"/>
      <c r="I7" s="1456" t="s">
        <v>327</v>
      </c>
      <c r="J7" s="1456"/>
      <c r="K7" s="1456" t="s">
        <v>328</v>
      </c>
      <c r="L7" s="1456"/>
      <c r="M7" s="337"/>
    </row>
    <row r="8" spans="1:12" s="338" customFormat="1" ht="27.75" customHeight="1">
      <c r="A8" s="1463"/>
      <c r="B8" s="1464"/>
      <c r="C8" s="1456"/>
      <c r="D8" s="1456"/>
      <c r="E8" s="1456" t="s">
        <v>329</v>
      </c>
      <c r="F8" s="1456"/>
      <c r="G8" s="1456" t="s">
        <v>330</v>
      </c>
      <c r="H8" s="1456"/>
      <c r="I8" s="1456"/>
      <c r="J8" s="1456"/>
      <c r="K8" s="1456"/>
      <c r="L8" s="1456"/>
    </row>
    <row r="9" spans="1:12" s="338" customFormat="1" ht="24.75" customHeight="1">
      <c r="A9" s="1465"/>
      <c r="B9" s="1466"/>
      <c r="C9" s="336" t="s">
        <v>331</v>
      </c>
      <c r="D9" s="336" t="s">
        <v>10</v>
      </c>
      <c r="E9" s="336" t="s">
        <v>3</v>
      </c>
      <c r="F9" s="336" t="s">
        <v>332</v>
      </c>
      <c r="G9" s="336" t="s">
        <v>3</v>
      </c>
      <c r="H9" s="336" t="s">
        <v>332</v>
      </c>
      <c r="I9" s="336" t="s">
        <v>3</v>
      </c>
      <c r="J9" s="336" t="s">
        <v>332</v>
      </c>
      <c r="K9" s="336" t="s">
        <v>3</v>
      </c>
      <c r="L9" s="336" t="s">
        <v>332</v>
      </c>
    </row>
    <row r="10" spans="1:12" s="340" customFormat="1" ht="15.75">
      <c r="A10" s="1389" t="s">
        <v>6</v>
      </c>
      <c r="B10" s="1390"/>
      <c r="C10" s="339">
        <v>1</v>
      </c>
      <c r="D10" s="339">
        <v>2</v>
      </c>
      <c r="E10" s="339">
        <v>3</v>
      </c>
      <c r="F10" s="339">
        <v>4</v>
      </c>
      <c r="G10" s="339">
        <v>5</v>
      </c>
      <c r="H10" s="339">
        <v>6</v>
      </c>
      <c r="I10" s="339">
        <v>7</v>
      </c>
      <c r="J10" s="339">
        <v>8</v>
      </c>
      <c r="K10" s="339">
        <v>9</v>
      </c>
      <c r="L10" s="339">
        <v>10</v>
      </c>
    </row>
    <row r="11" spans="1:12" s="340" customFormat="1" ht="30.75" customHeight="1">
      <c r="A11" s="1379" t="s">
        <v>405</v>
      </c>
      <c r="B11" s="1380"/>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382" t="s">
        <v>406</v>
      </c>
      <c r="B12" s="1383"/>
      <c r="C12" s="258">
        <v>0</v>
      </c>
      <c r="D12" s="258">
        <v>0</v>
      </c>
      <c r="E12" s="258">
        <v>0</v>
      </c>
      <c r="F12" s="258">
        <v>0</v>
      </c>
      <c r="G12" s="258">
        <v>0</v>
      </c>
      <c r="H12" s="258">
        <v>0</v>
      </c>
      <c r="I12" s="258">
        <v>0</v>
      </c>
      <c r="J12" s="258">
        <v>0</v>
      </c>
      <c r="K12" s="258">
        <v>0</v>
      </c>
      <c r="L12" s="258">
        <v>0</v>
      </c>
    </row>
    <row r="13" spans="1:32" s="340" customFormat="1" ht="17.25" customHeight="1">
      <c r="A13" s="1385" t="s">
        <v>37</v>
      </c>
      <c r="B13" s="1353"/>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375</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407</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378</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379</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380</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381</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386</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388</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389</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390</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392</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377" t="s">
        <v>393</v>
      </c>
      <c r="C28" s="1377"/>
      <c r="D28" s="1377"/>
      <c r="E28" s="213"/>
      <c r="F28" s="267"/>
      <c r="G28" s="267"/>
      <c r="H28" s="1376" t="s">
        <v>393</v>
      </c>
      <c r="I28" s="1376"/>
      <c r="J28" s="1376"/>
      <c r="K28" s="1376"/>
      <c r="L28" s="1376"/>
      <c r="AG28" s="201" t="s">
        <v>394</v>
      </c>
      <c r="AI28" s="199">
        <f>82/88</f>
        <v>0.9318181818181818</v>
      </c>
    </row>
    <row r="29" spans="1:12" s="201" customFormat="1" ht="19.5" customHeight="1">
      <c r="A29" s="211"/>
      <c r="B29" s="1378" t="s">
        <v>333</v>
      </c>
      <c r="C29" s="1378"/>
      <c r="D29" s="1378"/>
      <c r="E29" s="213"/>
      <c r="F29" s="214"/>
      <c r="G29" s="214"/>
      <c r="H29" s="1381" t="s">
        <v>251</v>
      </c>
      <c r="I29" s="1381"/>
      <c r="J29" s="1381"/>
      <c r="K29" s="1381"/>
      <c r="L29" s="1381"/>
    </row>
    <row r="30" spans="1:12" s="205" customFormat="1" ht="15" customHeight="1">
      <c r="A30" s="211"/>
      <c r="B30" s="1460"/>
      <c r="C30" s="1460"/>
      <c r="D30" s="1460"/>
      <c r="E30" s="213"/>
      <c r="F30" s="214"/>
      <c r="G30" s="214"/>
      <c r="H30" s="1333"/>
      <c r="I30" s="1333"/>
      <c r="J30" s="1333"/>
      <c r="K30" s="1333"/>
      <c r="L30" s="1333"/>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467" t="s">
        <v>397</v>
      </c>
      <c r="C33" s="1467"/>
      <c r="D33" s="1467"/>
      <c r="E33" s="345"/>
      <c r="F33" s="345"/>
      <c r="G33" s="345"/>
      <c r="H33" s="345"/>
      <c r="I33" s="345"/>
      <c r="J33" s="346" t="s">
        <v>397</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459" t="s">
        <v>334</v>
      </c>
      <c r="C37" s="1459"/>
      <c r="D37" s="1459"/>
      <c r="E37" s="1459"/>
      <c r="F37" s="1459"/>
      <c r="G37" s="1459"/>
      <c r="H37" s="1459"/>
      <c r="I37" s="1459"/>
      <c r="J37" s="1459"/>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201" t="s">
        <v>439</v>
      </c>
      <c r="C41" s="1201"/>
      <c r="D41" s="1201"/>
      <c r="E41" s="219"/>
      <c r="F41" s="219"/>
      <c r="G41" s="191"/>
      <c r="H41" s="1202" t="s">
        <v>351</v>
      </c>
      <c r="I41" s="1202"/>
      <c r="J41" s="1202"/>
      <c r="K41" s="1202"/>
      <c r="L41" s="1202"/>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468" t="s">
        <v>481</v>
      </c>
      <c r="M1" s="1469"/>
      <c r="N1" s="1469"/>
      <c r="O1" s="374"/>
      <c r="P1" s="374"/>
      <c r="Q1" s="374"/>
      <c r="R1" s="374"/>
      <c r="S1" s="374"/>
      <c r="T1" s="374"/>
      <c r="U1" s="374"/>
      <c r="V1" s="374"/>
      <c r="W1" s="374"/>
      <c r="X1" s="374"/>
      <c r="Y1" s="375"/>
    </row>
    <row r="2" spans="11:17" ht="34.5" customHeight="1">
      <c r="K2" s="358"/>
      <c r="L2" s="1470" t="s">
        <v>488</v>
      </c>
      <c r="M2" s="1471"/>
      <c r="N2" s="1472"/>
      <c r="O2" s="38"/>
      <c r="P2" s="360"/>
      <c r="Q2" s="356"/>
    </row>
    <row r="3" spans="11:18" ht="31.5" customHeight="1">
      <c r="K3" s="358"/>
      <c r="L3" s="363" t="s">
        <v>497</v>
      </c>
      <c r="M3" s="364">
        <f>'06'!C11</f>
        <v>17575</v>
      </c>
      <c r="N3" s="364"/>
      <c r="O3" s="364"/>
      <c r="P3" s="361"/>
      <c r="Q3" s="357"/>
      <c r="R3" s="354"/>
    </row>
    <row r="4" spans="11:18" ht="30" customHeight="1">
      <c r="K4" s="358"/>
      <c r="L4" s="365" t="s">
        <v>482</v>
      </c>
      <c r="M4" s="366">
        <f>'06'!D11</f>
        <v>5842</v>
      </c>
      <c r="N4" s="364"/>
      <c r="O4" s="364"/>
      <c r="P4" s="361"/>
      <c r="Q4" s="357"/>
      <c r="R4" s="354"/>
    </row>
    <row r="5" spans="11:18" ht="31.5" customHeight="1">
      <c r="K5" s="358"/>
      <c r="L5" s="365" t="s">
        <v>483</v>
      </c>
      <c r="M5" s="366">
        <f>'06'!E11</f>
        <v>11733</v>
      </c>
      <c r="N5" s="364"/>
      <c r="O5" s="364"/>
      <c r="P5" s="361"/>
      <c r="Q5" s="357"/>
      <c r="R5" s="354"/>
    </row>
    <row r="6" spans="11:18" ht="27" customHeight="1">
      <c r="K6" s="358"/>
      <c r="L6" s="363" t="s">
        <v>484</v>
      </c>
      <c r="M6" s="364">
        <f>'06'!F11</f>
        <v>264</v>
      </c>
      <c r="N6" s="364"/>
      <c r="O6" s="364"/>
      <c r="P6" s="361"/>
      <c r="Q6" s="357"/>
      <c r="R6" s="354"/>
    </row>
    <row r="7" spans="11:18" s="351" customFormat="1" ht="30" customHeight="1">
      <c r="K7" s="359"/>
      <c r="L7" s="367" t="s">
        <v>523</v>
      </c>
      <c r="M7" s="364">
        <f>'06'!H11</f>
        <v>17311</v>
      </c>
      <c r="N7" s="364"/>
      <c r="O7" s="364"/>
      <c r="P7" s="361"/>
      <c r="Q7" s="357"/>
      <c r="R7" s="354"/>
    </row>
    <row r="8" spans="11:18" ht="30.75" customHeight="1">
      <c r="K8" s="358"/>
      <c r="L8" s="368" t="s">
        <v>522</v>
      </c>
      <c r="M8" s="369">
        <f>'[7]M6 Tong hop Viec CHV '!$C$12</f>
        <v>1489</v>
      </c>
      <c r="N8" s="364"/>
      <c r="O8" s="364"/>
      <c r="P8" s="361"/>
      <c r="Q8" s="357"/>
      <c r="R8" s="354"/>
    </row>
    <row r="9" spans="11:18" ht="33" customHeight="1">
      <c r="K9" s="358"/>
      <c r="L9" s="376" t="s">
        <v>525</v>
      </c>
      <c r="M9" s="377">
        <f>(M7-M8)/M8</f>
        <v>10.625923438549362</v>
      </c>
      <c r="N9" s="364"/>
      <c r="O9" s="364"/>
      <c r="P9" s="361"/>
      <c r="Q9" s="357"/>
      <c r="R9" s="354"/>
    </row>
    <row r="10" spans="11:18" ht="33" customHeight="1">
      <c r="K10" s="358"/>
      <c r="L10" s="363" t="s">
        <v>524</v>
      </c>
      <c r="M10" s="364">
        <f>'06'!I11</f>
        <v>14762</v>
      </c>
      <c r="N10" s="364" t="s">
        <v>485</v>
      </c>
      <c r="O10" s="370">
        <f>M10/M7</f>
        <v>0.8527525850615216</v>
      </c>
      <c r="P10" s="361"/>
      <c r="Q10" s="357"/>
      <c r="R10" s="354"/>
    </row>
    <row r="11" spans="11:18" ht="22.5" customHeight="1">
      <c r="K11" s="358"/>
      <c r="L11" s="363" t="s">
        <v>526</v>
      </c>
      <c r="M11" s="364">
        <f>'06'!Q11</f>
        <v>2549</v>
      </c>
      <c r="N11" s="364" t="s">
        <v>485</v>
      </c>
      <c r="O11" s="370">
        <f>M11/M7</f>
        <v>0.14724741493847843</v>
      </c>
      <c r="P11" s="361"/>
      <c r="Q11" s="357"/>
      <c r="R11" s="354"/>
    </row>
    <row r="12" spans="11:18" ht="34.5" customHeight="1">
      <c r="K12" s="358"/>
      <c r="L12" s="363" t="s">
        <v>527</v>
      </c>
      <c r="M12" s="364">
        <f>'06'!J11+'06'!K11</f>
        <v>10819</v>
      </c>
      <c r="N12" s="363"/>
      <c r="O12" s="363"/>
      <c r="P12" s="355"/>
      <c r="R12" s="355"/>
    </row>
    <row r="13" spans="11:18" ht="33.75" customHeight="1">
      <c r="K13" s="358"/>
      <c r="L13" s="363" t="s">
        <v>528</v>
      </c>
      <c r="M13" s="370">
        <f>M12/M7</f>
        <v>0.6249783374732829</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529</v>
      </c>
      <c r="M16" s="369">
        <f>'[7]M6 Tong hop Viec CHV '!$H$12+'[7]M6 Tong hop Viec CHV '!$I$12+'[7]M6 Tong hop Viec CHV '!$K$12</f>
        <v>749</v>
      </c>
      <c r="N16" s="364"/>
      <c r="O16" s="364"/>
      <c r="P16" s="361"/>
      <c r="R16" s="355"/>
    </row>
    <row r="17" spans="11:18" ht="24.75" customHeight="1">
      <c r="K17" s="358"/>
      <c r="L17" s="376" t="s">
        <v>530</v>
      </c>
      <c r="M17" s="371">
        <f>M16/M8</f>
        <v>0.5030221625251847</v>
      </c>
      <c r="N17" s="364"/>
      <c r="O17" s="364"/>
      <c r="P17" s="361"/>
      <c r="R17" s="355"/>
    </row>
    <row r="18" spans="11:18" ht="26.25" customHeight="1">
      <c r="K18" s="358"/>
      <c r="L18" s="376" t="s">
        <v>486</v>
      </c>
      <c r="M18" s="377">
        <f>M13-M17</f>
        <v>0.12195617494809818</v>
      </c>
      <c r="N18" s="364"/>
      <c r="O18" s="364"/>
      <c r="P18" s="361"/>
      <c r="R18" s="355"/>
    </row>
    <row r="19" spans="11:18" ht="24.75" customHeight="1">
      <c r="K19" s="358"/>
      <c r="L19" s="363" t="s">
        <v>531</v>
      </c>
      <c r="M19" s="364">
        <f>'06'!J11</f>
        <v>10288</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532</v>
      </c>
      <c r="M26" s="370">
        <f>M19/'06'!I11</f>
        <v>0.6969245359707357</v>
      </c>
      <c r="N26" s="364"/>
      <c r="O26" s="364"/>
      <c r="P26" s="361"/>
      <c r="R26" s="355"/>
    </row>
    <row r="27" spans="11:18" ht="24.75" customHeight="1">
      <c r="K27" s="358"/>
      <c r="L27" s="368" t="s">
        <v>533</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534</v>
      </c>
      <c r="M30" s="370">
        <f>M26-M27</f>
        <v>0.02426266546713851</v>
      </c>
      <c r="N30" s="364"/>
      <c r="O30" s="364"/>
      <c r="P30" s="361"/>
      <c r="R30" s="355"/>
    </row>
    <row r="31" spans="11:18" ht="24.75" customHeight="1">
      <c r="K31" s="358"/>
      <c r="L31" s="363" t="s">
        <v>535</v>
      </c>
      <c r="M31" s="364">
        <f>'06'!R11</f>
        <v>6492</v>
      </c>
      <c r="N31" s="364"/>
      <c r="O31" s="364"/>
      <c r="P31" s="361"/>
      <c r="R31" s="355"/>
    </row>
    <row r="32" spans="11:18" ht="24.75" customHeight="1">
      <c r="K32" s="358"/>
      <c r="L32" s="368" t="s">
        <v>536</v>
      </c>
      <c r="M32" s="369">
        <f>'[7]M6 Tong hop Viec CHV '!$R$12</f>
        <v>719</v>
      </c>
      <c r="N32" s="364"/>
      <c r="O32" s="364"/>
      <c r="P32" s="361"/>
      <c r="R32" s="355"/>
    </row>
    <row r="33" spans="11:18" ht="24.75" customHeight="1">
      <c r="K33" s="358"/>
      <c r="L33" s="376" t="s">
        <v>537</v>
      </c>
      <c r="M33" s="378">
        <f>M31-M32</f>
        <v>5773</v>
      </c>
      <c r="N33" s="378" t="s">
        <v>487</v>
      </c>
      <c r="O33" s="377">
        <f>(M31-M32)/M32</f>
        <v>8.029207232267037</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489</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538</v>
      </c>
      <c r="M42" s="364">
        <f>'07'!C11</f>
        <v>1354210013</v>
      </c>
      <c r="N42" s="364"/>
      <c r="O42" s="364"/>
      <c r="P42" s="355"/>
      <c r="R42" s="355"/>
    </row>
    <row r="43" spans="11:18" ht="24.75" customHeight="1">
      <c r="K43" s="358"/>
      <c r="L43" s="372" t="s">
        <v>132</v>
      </c>
      <c r="M43" s="364">
        <f>'07'!D11</f>
        <v>841089114</v>
      </c>
      <c r="N43" s="364"/>
      <c r="O43" s="364"/>
      <c r="P43" s="355"/>
      <c r="R43" s="355"/>
    </row>
    <row r="44" spans="11:18" ht="24.75" customHeight="1">
      <c r="K44" s="358"/>
      <c r="L44" s="372" t="s">
        <v>483</v>
      </c>
      <c r="M44" s="364">
        <f>'07'!E11</f>
        <v>513120899</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539</v>
      </c>
      <c r="M47" s="364">
        <f>'07'!F11</f>
        <v>48649822</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540</v>
      </c>
      <c r="M50" s="364">
        <f>'07'!H11</f>
        <v>1305560191</v>
      </c>
      <c r="N50" s="364"/>
      <c r="O50" s="364"/>
      <c r="P50" s="355"/>
      <c r="R50" s="355"/>
    </row>
    <row r="51" spans="11:18" ht="24.75" customHeight="1">
      <c r="K51" s="358"/>
      <c r="L51" s="373" t="s">
        <v>541</v>
      </c>
      <c r="M51" s="369">
        <f>'[7]M7 Thop tien CHV'!$C$12</f>
        <v>54227822.442</v>
      </c>
      <c r="N51" s="364"/>
      <c r="O51" s="364"/>
      <c r="P51" s="355"/>
      <c r="R51" s="355"/>
    </row>
    <row r="52" spans="11:18" ht="24.75" customHeight="1">
      <c r="K52" s="358"/>
      <c r="L52" s="386" t="s">
        <v>490</v>
      </c>
      <c r="M52" s="378">
        <f>M50-M51</f>
        <v>1251332368.558</v>
      </c>
      <c r="N52" s="364"/>
      <c r="O52" s="364"/>
      <c r="P52" s="355"/>
      <c r="R52" s="355"/>
    </row>
    <row r="53" spans="11:18" ht="24.75" customHeight="1">
      <c r="K53" s="358"/>
      <c r="L53" s="386" t="s">
        <v>491</v>
      </c>
      <c r="M53" s="377">
        <f>(M52/M51)</f>
        <v>23.075467761892472</v>
      </c>
      <c r="N53" s="364"/>
      <c r="O53" s="364"/>
      <c r="P53" s="355"/>
      <c r="R53" s="355"/>
    </row>
    <row r="54" spans="11:18" ht="24.75" customHeight="1">
      <c r="K54" s="358"/>
      <c r="L54" s="372" t="s">
        <v>542</v>
      </c>
      <c r="M54" s="364">
        <f>'07'!I11</f>
        <v>951243589</v>
      </c>
      <c r="N54" s="364" t="s">
        <v>492</v>
      </c>
      <c r="O54" s="370">
        <f>'07'!I11/'07'!H11</f>
        <v>0.7286095237565343</v>
      </c>
      <c r="P54" s="355"/>
      <c r="R54" s="355"/>
    </row>
    <row r="55" spans="11:18" ht="24.75" customHeight="1">
      <c r="K55" s="358"/>
      <c r="L55" s="372" t="s">
        <v>543</v>
      </c>
      <c r="M55" s="364">
        <f>'07'!R11</f>
        <v>354316602</v>
      </c>
      <c r="N55" s="364" t="s">
        <v>492</v>
      </c>
      <c r="O55" s="370">
        <f>'07'!R11/'07'!H11</f>
        <v>0.2713904762434657</v>
      </c>
      <c r="P55" s="355"/>
      <c r="R55" s="355"/>
    </row>
    <row r="56" spans="11:18" ht="24.75" customHeight="1">
      <c r="K56" s="358"/>
      <c r="L56" s="372" t="s">
        <v>544</v>
      </c>
      <c r="M56" s="364">
        <f>'07'!J11+'07'!K11+'07'!L11</f>
        <v>340445216</v>
      </c>
      <c r="N56" s="364" t="s">
        <v>492</v>
      </c>
      <c r="O56" s="370">
        <f>M56/'07'!H11</f>
        <v>0.2607656225633185</v>
      </c>
      <c r="P56" s="355"/>
      <c r="R56" s="355"/>
    </row>
    <row r="57" spans="11:18" ht="24.75" customHeight="1">
      <c r="K57" s="358"/>
      <c r="L57" s="373" t="s">
        <v>545</v>
      </c>
      <c r="M57" s="369">
        <f>'[7]M7 Thop tien CHV'!$H$12+'[7]M7 Thop tien CHV'!$I$12+'[7]M7 Thop tien CHV'!$K$12</f>
        <v>2217726.5</v>
      </c>
      <c r="N57" s="369" t="s">
        <v>492</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546</v>
      </c>
      <c r="M60" s="377">
        <f>O56-O57</f>
        <v>0.21986915281530314</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547</v>
      </c>
      <c r="M63" s="364">
        <f>'07'!J11</f>
        <v>140225790</v>
      </c>
      <c r="N63" s="364" t="s">
        <v>493</v>
      </c>
      <c r="O63" s="370">
        <f>'07'!J11/'07'!I11</f>
        <v>0.14741312490464523</v>
      </c>
      <c r="P63" s="355"/>
      <c r="R63" s="355"/>
    </row>
    <row r="64" spans="11:16" ht="24.75" customHeight="1">
      <c r="K64" s="358"/>
      <c r="L64" s="373" t="s">
        <v>548</v>
      </c>
      <c r="M64" s="369">
        <f>'[7]M7 Thop tien CHV'!$H$12</f>
        <v>2212774.5</v>
      </c>
      <c r="N64" s="369" t="s">
        <v>494</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549</v>
      </c>
      <c r="M68" s="377">
        <f>O63-O64</f>
        <v>0.13316962358483156</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550</v>
      </c>
      <c r="M72" s="364">
        <f>'07'!S11</f>
        <v>965114975</v>
      </c>
      <c r="N72" s="364"/>
      <c r="O72" s="364"/>
      <c r="P72" s="355"/>
    </row>
    <row r="73" spans="11:16" ht="24.75" customHeight="1">
      <c r="K73" s="358"/>
      <c r="L73" s="373" t="s">
        <v>551</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495</v>
      </c>
      <c r="M76" s="378">
        <f>M72-M73</f>
        <v>916988164.638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496</v>
      </c>
      <c r="M79" s="377">
        <f>M76/M73</f>
        <v>19.053582768951504</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2"/>
  <sheetViews>
    <sheetView zoomScalePageLayoutView="0" workbookViewId="0" topLeftCell="A1">
      <selection activeCell="B13" sqref="B13"/>
    </sheetView>
  </sheetViews>
  <sheetFormatPr defaultColWidth="9.00390625" defaultRowHeight="15.75"/>
  <cols>
    <col min="1" max="1" width="23.50390625" style="0" customWidth="1"/>
    <col min="2" max="2" width="66.125" style="0" customWidth="1"/>
  </cols>
  <sheetData>
    <row r="2" spans="1:2" ht="62.25" customHeight="1">
      <c r="A2" s="1473" t="s">
        <v>581</v>
      </c>
      <c r="B2" s="1473"/>
    </row>
    <row r="3" spans="1:2" ht="22.5" customHeight="1">
      <c r="A3" s="498" t="s">
        <v>556</v>
      </c>
      <c r="B3" s="508" t="s">
        <v>771</v>
      </c>
    </row>
    <row r="4" spans="1:2" ht="22.5" customHeight="1">
      <c r="A4" s="498" t="s">
        <v>554</v>
      </c>
      <c r="B4" s="499" t="s">
        <v>680</v>
      </c>
    </row>
    <row r="5" spans="1:2" ht="22.5" customHeight="1">
      <c r="A5" s="498" t="s">
        <v>557</v>
      </c>
      <c r="B5" s="506" t="s">
        <v>681</v>
      </c>
    </row>
    <row r="6" spans="1:2" ht="22.5" customHeight="1">
      <c r="A6" s="498" t="s">
        <v>558</v>
      </c>
      <c r="B6" s="506" t="s">
        <v>682</v>
      </c>
    </row>
    <row r="7" spans="1:2" ht="22.5" customHeight="1">
      <c r="A7" s="498" t="s">
        <v>559</v>
      </c>
      <c r="B7" s="707" t="s">
        <v>766</v>
      </c>
    </row>
    <row r="8" spans="1:2" ht="22.5" customHeight="1">
      <c r="A8" s="812"/>
      <c r="B8" s="813" t="s">
        <v>767</v>
      </c>
    </row>
    <row r="9" spans="1:2" ht="15.75">
      <c r="A9" s="500" t="s">
        <v>560</v>
      </c>
      <c r="B9" s="507" t="s">
        <v>772</v>
      </c>
    </row>
    <row r="11" spans="1:2" ht="62.25" customHeight="1">
      <c r="A11" s="1474" t="s">
        <v>653</v>
      </c>
      <c r="B11" s="1474"/>
    </row>
    <row r="12" spans="1:2" ht="15.75">
      <c r="A12" s="1475" t="s">
        <v>580</v>
      </c>
      <c r="B12" s="1475"/>
    </row>
  </sheetData>
  <sheetProtection/>
  <mergeCells count="3">
    <mergeCell ref="A2:B2"/>
    <mergeCell ref="A11:B11"/>
    <mergeCell ref="A12:B1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8"/>
  <sheetViews>
    <sheetView showZeros="0" view="pageBreakPreview" zoomScaleNormal="85" zoomScaleSheetLayoutView="100" zoomScalePageLayoutView="0" workbookViewId="0" topLeftCell="A1">
      <selection activeCell="J12" sqref="J12"/>
    </sheetView>
  </sheetViews>
  <sheetFormatPr defaultColWidth="9.00390625" defaultRowHeight="15.75"/>
  <cols>
    <col min="1" max="1" width="4.125" style="434" customWidth="1"/>
    <col min="2" max="2" width="23.25390625" style="388" customWidth="1"/>
    <col min="3" max="3" width="11.875" style="388" customWidth="1"/>
    <col min="4" max="4" width="9.625" style="388" customWidth="1"/>
    <col min="5" max="5" width="9.50390625" style="388" customWidth="1"/>
    <col min="6" max="6" width="9.125" style="388" customWidth="1"/>
    <col min="7" max="7" width="9.25390625" style="388" customWidth="1"/>
    <col min="8" max="8" width="8.50390625" style="388" customWidth="1"/>
    <col min="9" max="11" width="7.75390625" style="388" customWidth="1"/>
    <col min="12" max="12" width="9.00390625" style="388" customWidth="1"/>
    <col min="13" max="13" width="8.375" style="388" customWidth="1"/>
    <col min="14" max="14" width="8.75390625" style="388" customWidth="1"/>
    <col min="15" max="16384" width="9.00390625" style="388" customWidth="1"/>
  </cols>
  <sheetData>
    <row r="1" spans="1:14" ht="19.5" customHeight="1">
      <c r="A1" s="1476" t="s">
        <v>29</v>
      </c>
      <c r="B1" s="1476"/>
      <c r="C1" s="414"/>
      <c r="D1" s="1477" t="s">
        <v>82</v>
      </c>
      <c r="E1" s="1477"/>
      <c r="F1" s="1477"/>
      <c r="G1" s="1477"/>
      <c r="H1" s="1477"/>
      <c r="I1" s="1477"/>
      <c r="J1" s="1477"/>
      <c r="K1" s="1477"/>
      <c r="L1" s="1478" t="s">
        <v>555</v>
      </c>
      <c r="M1" s="1478"/>
      <c r="N1" s="1478"/>
    </row>
    <row r="2" spans="1:16" ht="16.5" customHeight="1">
      <c r="A2" s="415" t="s">
        <v>342</v>
      </c>
      <c r="B2" s="415"/>
      <c r="C2" s="415"/>
      <c r="D2" s="1477" t="s">
        <v>118</v>
      </c>
      <c r="E2" s="1477"/>
      <c r="F2" s="1477"/>
      <c r="G2" s="1477"/>
      <c r="H2" s="1477"/>
      <c r="I2" s="1477"/>
      <c r="J2" s="1477"/>
      <c r="K2" s="1477"/>
      <c r="L2" s="1479" t="str">
        <f>'Thong tin'!B4</f>
        <v>Cục THADS tỉnh Bình Thuận</v>
      </c>
      <c r="M2" s="1479"/>
      <c r="N2" s="1479"/>
      <c r="P2" s="389"/>
    </row>
    <row r="3" spans="1:16" ht="16.5" customHeight="1">
      <c r="A3" s="415" t="s">
        <v>343</v>
      </c>
      <c r="B3" s="415"/>
      <c r="C3" s="413"/>
      <c r="D3" s="1480" t="str">
        <f>'Thong tin'!B3</f>
        <v>12 tháng / năm 2016</v>
      </c>
      <c r="E3" s="1480"/>
      <c r="F3" s="1480"/>
      <c r="G3" s="1480"/>
      <c r="H3" s="1480"/>
      <c r="I3" s="1480"/>
      <c r="J3" s="1480"/>
      <c r="K3" s="1480"/>
      <c r="L3" s="1478" t="s">
        <v>763</v>
      </c>
      <c r="M3" s="1478"/>
      <c r="N3" s="1478"/>
      <c r="P3" s="390"/>
    </row>
    <row r="4" spans="1:16" ht="16.5" customHeight="1">
      <c r="A4" s="416" t="s">
        <v>119</v>
      </c>
      <c r="B4" s="417"/>
      <c r="C4" s="418"/>
      <c r="D4" s="419"/>
      <c r="E4" s="419"/>
      <c r="F4" s="418"/>
      <c r="G4" s="420"/>
      <c r="H4" s="420"/>
      <c r="I4" s="420"/>
      <c r="J4" s="418"/>
      <c r="K4" s="419"/>
      <c r="L4" s="1479" t="s">
        <v>764</v>
      </c>
      <c r="M4" s="1479"/>
      <c r="N4" s="1479"/>
      <c r="P4" s="390"/>
    </row>
    <row r="5" spans="1:16" ht="16.5" customHeight="1">
      <c r="A5" s="421"/>
      <c r="B5" s="418"/>
      <c r="C5" s="418"/>
      <c r="D5" s="418"/>
      <c r="E5" s="418"/>
      <c r="F5" s="422"/>
      <c r="G5" s="423"/>
      <c r="H5" s="423"/>
      <c r="I5" s="423"/>
      <c r="J5" s="422"/>
      <c r="K5" s="424"/>
      <c r="L5" s="1486" t="s">
        <v>8</v>
      </c>
      <c r="M5" s="1486"/>
      <c r="N5" s="1486"/>
      <c r="P5" s="390"/>
    </row>
    <row r="6" spans="1:16" ht="18.75" customHeight="1">
      <c r="A6" s="1490" t="s">
        <v>69</v>
      </c>
      <c r="B6" s="1491"/>
      <c r="C6" s="1496" t="s">
        <v>38</v>
      </c>
      <c r="D6" s="1496" t="s">
        <v>337</v>
      </c>
      <c r="E6" s="1498"/>
      <c r="F6" s="1498"/>
      <c r="G6" s="1498"/>
      <c r="H6" s="1498"/>
      <c r="I6" s="1498"/>
      <c r="J6" s="1498"/>
      <c r="K6" s="1498"/>
      <c r="L6" s="1498"/>
      <c r="M6" s="1498"/>
      <c r="N6" s="1499"/>
      <c r="P6" s="390"/>
    </row>
    <row r="7" spans="1:16" ht="20.25" customHeight="1">
      <c r="A7" s="1492"/>
      <c r="B7" s="1493"/>
      <c r="C7" s="1497"/>
      <c r="D7" s="1500" t="s">
        <v>120</v>
      </c>
      <c r="E7" s="1502" t="s">
        <v>121</v>
      </c>
      <c r="F7" s="1503"/>
      <c r="G7" s="1504"/>
      <c r="H7" s="1482" t="s">
        <v>122</v>
      </c>
      <c r="I7" s="1482" t="s">
        <v>123</v>
      </c>
      <c r="J7" s="1482" t="s">
        <v>124</v>
      </c>
      <c r="K7" s="1482" t="s">
        <v>125</v>
      </c>
      <c r="L7" s="1482" t="s">
        <v>126</v>
      </c>
      <c r="M7" s="1482" t="s">
        <v>127</v>
      </c>
      <c r="N7" s="1482" t="s">
        <v>128</v>
      </c>
      <c r="O7" s="390"/>
      <c r="P7" s="390"/>
    </row>
    <row r="8" spans="1:16" ht="21" customHeight="1">
      <c r="A8" s="1492"/>
      <c r="B8" s="1493"/>
      <c r="C8" s="1497"/>
      <c r="D8" s="1500"/>
      <c r="E8" s="1489" t="s">
        <v>37</v>
      </c>
      <c r="F8" s="1484" t="s">
        <v>7</v>
      </c>
      <c r="G8" s="1485"/>
      <c r="H8" s="1482"/>
      <c r="I8" s="1482"/>
      <c r="J8" s="1482"/>
      <c r="K8" s="1482"/>
      <c r="L8" s="1482"/>
      <c r="M8" s="1482"/>
      <c r="N8" s="1482"/>
      <c r="O8" s="1481"/>
      <c r="P8" s="1481"/>
    </row>
    <row r="9" spans="1:16" ht="24.75" customHeight="1">
      <c r="A9" s="1494"/>
      <c r="B9" s="1495"/>
      <c r="C9" s="1497"/>
      <c r="D9" s="1501"/>
      <c r="E9" s="1483"/>
      <c r="F9" s="509" t="s">
        <v>200</v>
      </c>
      <c r="G9" s="510" t="s">
        <v>201</v>
      </c>
      <c r="H9" s="1483"/>
      <c r="I9" s="1483"/>
      <c r="J9" s="1483"/>
      <c r="K9" s="1483"/>
      <c r="L9" s="1483"/>
      <c r="M9" s="1483"/>
      <c r="N9" s="1483"/>
      <c r="O9" s="391"/>
      <c r="P9" s="391"/>
    </row>
    <row r="10" spans="1:16" s="393" customFormat="1" ht="18.75" customHeight="1">
      <c r="A10" s="1487" t="s">
        <v>40</v>
      </c>
      <c r="B10" s="1488"/>
      <c r="C10" s="497">
        <v>1</v>
      </c>
      <c r="D10" s="497">
        <v>2</v>
      </c>
      <c r="E10" s="497">
        <v>3</v>
      </c>
      <c r="F10" s="497">
        <v>4</v>
      </c>
      <c r="G10" s="497">
        <v>5</v>
      </c>
      <c r="H10" s="497">
        <v>6</v>
      </c>
      <c r="I10" s="497">
        <v>7</v>
      </c>
      <c r="J10" s="497">
        <v>8</v>
      </c>
      <c r="K10" s="497">
        <v>9</v>
      </c>
      <c r="L10" s="497">
        <v>10</v>
      </c>
      <c r="M10" s="497">
        <v>11</v>
      </c>
      <c r="N10" s="497">
        <v>12</v>
      </c>
      <c r="O10" s="392"/>
      <c r="P10" s="392"/>
    </row>
    <row r="11" spans="1:17" ht="22.5" customHeight="1">
      <c r="A11" s="1010" t="s">
        <v>0</v>
      </c>
      <c r="B11" s="1009" t="s">
        <v>131</v>
      </c>
      <c r="C11" s="1021">
        <f>D11+E11+H11+I11+J11+K11+L11+M11+N11</f>
        <v>12903</v>
      </c>
      <c r="D11" s="1022">
        <f>D12+D13</f>
        <v>4032</v>
      </c>
      <c r="E11" s="1022">
        <f>F11+G11</f>
        <v>2986</v>
      </c>
      <c r="F11" s="1023">
        <f>F12+F13</f>
        <v>336</v>
      </c>
      <c r="G11" s="1023">
        <f aca="true" t="shared" si="0" ref="G11:N11">G12+G13</f>
        <v>2650</v>
      </c>
      <c r="H11" s="1023">
        <f t="shared" si="0"/>
        <v>36</v>
      </c>
      <c r="I11" s="1023">
        <f t="shared" si="0"/>
        <v>5622</v>
      </c>
      <c r="J11" s="1023">
        <f t="shared" si="0"/>
        <v>192</v>
      </c>
      <c r="K11" s="1023">
        <f t="shared" si="0"/>
        <v>7</v>
      </c>
      <c r="L11" s="1023">
        <f t="shared" si="0"/>
        <v>1</v>
      </c>
      <c r="M11" s="1023">
        <f t="shared" si="0"/>
        <v>0</v>
      </c>
      <c r="N11" s="1023">
        <f t="shared" si="0"/>
        <v>27</v>
      </c>
      <c r="O11" s="390"/>
      <c r="P11" s="390"/>
      <c r="Q11" s="427"/>
    </row>
    <row r="12" spans="1:16" ht="22.5" customHeight="1">
      <c r="A12" s="435">
        <v>1</v>
      </c>
      <c r="B12" s="807" t="s">
        <v>132</v>
      </c>
      <c r="C12" s="1021">
        <f aca="true" t="shared" si="1" ref="C12:C25">D12+E12+H12+I12+J12+K12+L12+M12+N12</f>
        <v>3042</v>
      </c>
      <c r="D12" s="1024">
        <f>48+245+265+116+22+121+77+120+63+101+13-12</f>
        <v>1179</v>
      </c>
      <c r="E12" s="1022">
        <f aca="true" t="shared" si="2" ref="E12:E25">F12+G12</f>
        <v>1453</v>
      </c>
      <c r="F12" s="1024">
        <f>2+43+40+33+9+5+2+5+1+0</f>
        <v>140</v>
      </c>
      <c r="G12" s="1024">
        <f>98+291+165+117+68+103+66+175+94+128+8</f>
        <v>1313</v>
      </c>
      <c r="H12" s="1024">
        <f>2+0</f>
        <v>2</v>
      </c>
      <c r="I12" s="1024">
        <f>1+32+79+16+6+34+4+34+1+100+1</f>
        <v>308</v>
      </c>
      <c r="J12" s="1024">
        <f>17+32+5+1+8+20+2+17+0-4</f>
        <v>98</v>
      </c>
      <c r="K12" s="1024">
        <v>1</v>
      </c>
      <c r="L12" s="1024">
        <v>1</v>
      </c>
      <c r="M12" s="1024">
        <v>0</v>
      </c>
      <c r="N12" s="1026">
        <v>0</v>
      </c>
      <c r="O12" s="390"/>
      <c r="P12" s="390"/>
    </row>
    <row r="13" spans="1:16" ht="22.5" customHeight="1">
      <c r="A13" s="435">
        <v>2</v>
      </c>
      <c r="B13" s="807" t="s">
        <v>133</v>
      </c>
      <c r="C13" s="1021">
        <f t="shared" si="1"/>
        <v>9861</v>
      </c>
      <c r="D13" s="1026">
        <f>28+315+336+580+250+380+197+198+227+336+6</f>
        <v>2853</v>
      </c>
      <c r="E13" s="1022">
        <f t="shared" si="2"/>
        <v>1533</v>
      </c>
      <c r="F13" s="1026">
        <f>56+38+81+5+0+2+7+7+0</f>
        <v>196</v>
      </c>
      <c r="G13" s="1026">
        <f>17+126+124+86+96+131+128+212+156+229+32+0</f>
        <v>1337</v>
      </c>
      <c r="H13" s="1026">
        <f>1+4+6+2+5+5+5+6+0</f>
        <v>34</v>
      </c>
      <c r="I13" s="1026">
        <f>65+241+515+891+401+518+392+731+599+942+19+0</f>
        <v>5314</v>
      </c>
      <c r="J13" s="1026">
        <f>2+10+7+6+8+9+47+5+0</f>
        <v>94</v>
      </c>
      <c r="K13" s="1026">
        <v>6</v>
      </c>
      <c r="L13" s="1026">
        <v>0</v>
      </c>
      <c r="M13" s="1026">
        <v>0</v>
      </c>
      <c r="N13" s="1026">
        <v>27</v>
      </c>
      <c r="O13" s="390"/>
      <c r="P13" s="390"/>
    </row>
    <row r="14" spans="1:16" ht="22.5" customHeight="1">
      <c r="A14" s="1011" t="s">
        <v>1</v>
      </c>
      <c r="B14" s="809" t="s">
        <v>134</v>
      </c>
      <c r="C14" s="1027">
        <f t="shared" si="1"/>
        <v>198</v>
      </c>
      <c r="D14" s="1028">
        <v>12</v>
      </c>
      <c r="E14" s="1029">
        <f t="shared" si="2"/>
        <v>172</v>
      </c>
      <c r="F14" s="1028">
        <v>6</v>
      </c>
      <c r="G14" s="1028">
        <f>6+34+36+8+2+11+6+31+26+1+5</f>
        <v>166</v>
      </c>
      <c r="H14" s="1028">
        <v>0</v>
      </c>
      <c r="I14" s="1028">
        <f>13</f>
        <v>13</v>
      </c>
      <c r="J14" s="1028">
        <v>1</v>
      </c>
      <c r="K14" s="1028">
        <v>0</v>
      </c>
      <c r="L14" s="1028">
        <v>0</v>
      </c>
      <c r="M14" s="1028">
        <v>0</v>
      </c>
      <c r="N14" s="1028">
        <v>0</v>
      </c>
      <c r="O14" s="390"/>
      <c r="P14" s="390"/>
    </row>
    <row r="15" spans="1:16" ht="22.5" customHeight="1">
      <c r="A15" s="1011" t="s">
        <v>9</v>
      </c>
      <c r="B15" s="809" t="s">
        <v>135</v>
      </c>
      <c r="C15" s="1027">
        <f t="shared" si="1"/>
        <v>16</v>
      </c>
      <c r="D15" s="1028">
        <v>12</v>
      </c>
      <c r="E15" s="1029">
        <f t="shared" si="2"/>
        <v>0</v>
      </c>
      <c r="F15" s="1028">
        <v>0</v>
      </c>
      <c r="G15" s="1028">
        <v>0</v>
      </c>
      <c r="H15" s="1028">
        <v>0</v>
      </c>
      <c r="I15" s="1028">
        <v>0</v>
      </c>
      <c r="J15" s="1028">
        <v>4</v>
      </c>
      <c r="K15" s="1028">
        <v>0</v>
      </c>
      <c r="L15" s="1028">
        <v>0</v>
      </c>
      <c r="M15" s="1028">
        <v>0</v>
      </c>
      <c r="N15" s="1028">
        <v>0</v>
      </c>
      <c r="O15" s="390"/>
      <c r="P15" s="390"/>
    </row>
    <row r="16" spans="1:15" ht="22.5" customHeight="1">
      <c r="A16" s="828" t="s">
        <v>136</v>
      </c>
      <c r="B16" s="810" t="s">
        <v>137</v>
      </c>
      <c r="C16" s="1021">
        <f>C17+C25</f>
        <v>12705</v>
      </c>
      <c r="D16" s="1021">
        <f aca="true" t="shared" si="3" ref="D16:N16">D17+D25</f>
        <v>4020</v>
      </c>
      <c r="E16" s="1021">
        <f t="shared" si="3"/>
        <v>2814</v>
      </c>
      <c r="F16" s="1021">
        <f t="shared" si="3"/>
        <v>330</v>
      </c>
      <c r="G16" s="1021">
        <f t="shared" si="3"/>
        <v>2484</v>
      </c>
      <c r="H16" s="1021">
        <f t="shared" si="3"/>
        <v>36</v>
      </c>
      <c r="I16" s="1021">
        <f t="shared" si="3"/>
        <v>5609</v>
      </c>
      <c r="J16" s="1021">
        <f t="shared" si="3"/>
        <v>191</v>
      </c>
      <c r="K16" s="1021">
        <f t="shared" si="3"/>
        <v>7</v>
      </c>
      <c r="L16" s="1021">
        <f t="shared" si="3"/>
        <v>1</v>
      </c>
      <c r="M16" s="1021">
        <f t="shared" si="3"/>
        <v>0</v>
      </c>
      <c r="N16" s="1021">
        <f t="shared" si="3"/>
        <v>27</v>
      </c>
      <c r="O16" s="390"/>
    </row>
    <row r="17" spans="1:15" ht="22.5" customHeight="1">
      <c r="A17" s="828" t="s">
        <v>52</v>
      </c>
      <c r="B17" s="816" t="s">
        <v>138</v>
      </c>
      <c r="C17" s="1021">
        <f t="shared" si="1"/>
        <v>11092</v>
      </c>
      <c r="D17" s="1030">
        <f>D18+D19+D20+D21+D22+D23+D24</f>
        <v>3530</v>
      </c>
      <c r="E17" s="1022">
        <f t="shared" si="2"/>
        <v>1829</v>
      </c>
      <c r="F17" s="1030">
        <f>F18+F19+F20+F21+F22+F23+F24</f>
        <v>230</v>
      </c>
      <c r="G17" s="1030">
        <f aca="true" t="shared" si="4" ref="G17:N17">G18+G19+G20+G21+G22+G23+G24</f>
        <v>1599</v>
      </c>
      <c r="H17" s="1030">
        <f t="shared" si="4"/>
        <v>36</v>
      </c>
      <c r="I17" s="1030">
        <f t="shared" si="4"/>
        <v>5491</v>
      </c>
      <c r="J17" s="1030">
        <f t="shared" si="4"/>
        <v>171</v>
      </c>
      <c r="K17" s="1030">
        <f t="shared" si="4"/>
        <v>7</v>
      </c>
      <c r="L17" s="1030">
        <f t="shared" si="4"/>
        <v>1</v>
      </c>
      <c r="M17" s="1030">
        <f t="shared" si="4"/>
        <v>0</v>
      </c>
      <c r="N17" s="1030">
        <f t="shared" si="4"/>
        <v>27</v>
      </c>
      <c r="O17" s="390"/>
    </row>
    <row r="18" spans="1:15" ht="22.5" customHeight="1">
      <c r="A18" s="435" t="s">
        <v>54</v>
      </c>
      <c r="B18" s="807" t="s">
        <v>139</v>
      </c>
      <c r="C18" s="1021">
        <f t="shared" si="1"/>
        <v>9542</v>
      </c>
      <c r="D18" s="1031">
        <f>9+301+186+194+184+366+202+525+322+326+34+0</f>
        <v>2649</v>
      </c>
      <c r="E18" s="1022">
        <f t="shared" si="2"/>
        <v>1426</v>
      </c>
      <c r="F18" s="1031">
        <f>66+32+61+4+2+6+2+0</f>
        <v>173</v>
      </c>
      <c r="G18" s="1031">
        <f>18+113+107+96+89+124+100+179+113+271+43+0</f>
        <v>1253</v>
      </c>
      <c r="H18" s="1031">
        <v>36</v>
      </c>
      <c r="I18" s="1031">
        <f>20+953+589+715+386+515+380+832+504+334+65+3</f>
        <v>5296</v>
      </c>
      <c r="J18" s="1031">
        <f>9+41+9+10+9+6+15+1</f>
        <v>100</v>
      </c>
      <c r="K18" s="1031">
        <v>7</v>
      </c>
      <c r="L18" s="1031">
        <v>1</v>
      </c>
      <c r="M18" s="1031">
        <v>0</v>
      </c>
      <c r="N18" s="1026">
        <v>27</v>
      </c>
      <c r="O18" s="390"/>
    </row>
    <row r="19" spans="1:15" ht="20.25" customHeight="1">
      <c r="A19" s="435" t="s">
        <v>55</v>
      </c>
      <c r="B19" s="807" t="s">
        <v>140</v>
      </c>
      <c r="C19" s="1021">
        <f t="shared" si="1"/>
        <v>176</v>
      </c>
      <c r="D19" s="1031">
        <f>2+5+17+3+1+9+4+1+6+0</f>
        <v>48</v>
      </c>
      <c r="E19" s="1022">
        <f t="shared" si="2"/>
        <v>106</v>
      </c>
      <c r="F19" s="1031">
        <v>5</v>
      </c>
      <c r="G19" s="1031">
        <f>1+11+31+2+2+37+2+15+0</f>
        <v>101</v>
      </c>
      <c r="H19" s="1031">
        <v>0</v>
      </c>
      <c r="I19" s="1031">
        <f>21-1</f>
        <v>20</v>
      </c>
      <c r="J19" s="1031">
        <v>2</v>
      </c>
      <c r="K19" s="1031">
        <v>0</v>
      </c>
      <c r="L19" s="1031">
        <v>0</v>
      </c>
      <c r="M19" s="1031">
        <v>0</v>
      </c>
      <c r="N19" s="1026">
        <v>0</v>
      </c>
      <c r="O19" s="390"/>
    </row>
    <row r="20" spans="1:15" ht="21" customHeight="1">
      <c r="A20" s="435" t="s">
        <v>141</v>
      </c>
      <c r="B20" s="807" t="s">
        <v>142</v>
      </c>
      <c r="C20" s="1021">
        <f t="shared" si="1"/>
        <v>1256</v>
      </c>
      <c r="D20" s="1026">
        <f>30+138+49+91+56+92+55+43+88+109+1+0-2</f>
        <v>750</v>
      </c>
      <c r="E20" s="1022">
        <f t="shared" si="2"/>
        <v>274</v>
      </c>
      <c r="F20" s="1026">
        <f>1+13+16+13+0</f>
        <v>43</v>
      </c>
      <c r="G20" s="1026">
        <f>25+25+25+17+16+24+20+15+43+21+0</f>
        <v>231</v>
      </c>
      <c r="H20" s="1026">
        <v>0</v>
      </c>
      <c r="I20" s="1026">
        <f>4+6+41+20+22+9+23+33+9+0</f>
        <v>167</v>
      </c>
      <c r="J20" s="1026">
        <f>1+4+1+17+6+4+26+9+0-2-1</f>
        <v>65</v>
      </c>
      <c r="K20" s="1026">
        <v>0</v>
      </c>
      <c r="L20" s="1026">
        <v>0</v>
      </c>
      <c r="M20" s="1026">
        <v>0</v>
      </c>
      <c r="N20" s="1026">
        <v>0</v>
      </c>
      <c r="O20" s="390"/>
    </row>
    <row r="21" spans="1:15" ht="21" customHeight="1">
      <c r="A21" s="435" t="s">
        <v>143</v>
      </c>
      <c r="B21" s="807" t="s">
        <v>144</v>
      </c>
      <c r="C21" s="1021">
        <f t="shared" si="1"/>
        <v>27</v>
      </c>
      <c r="D21" s="1031">
        <v>13</v>
      </c>
      <c r="E21" s="1022">
        <f t="shared" si="2"/>
        <v>12</v>
      </c>
      <c r="F21" s="1031">
        <f>1+2</f>
        <v>3</v>
      </c>
      <c r="G21" s="1031">
        <v>9</v>
      </c>
      <c r="H21" s="1031">
        <v>0</v>
      </c>
      <c r="I21" s="1031">
        <v>1</v>
      </c>
      <c r="J21" s="1031">
        <v>1</v>
      </c>
      <c r="K21" s="1031">
        <v>0</v>
      </c>
      <c r="L21" s="1031">
        <v>0</v>
      </c>
      <c r="M21" s="1031">
        <v>0</v>
      </c>
      <c r="N21" s="1026">
        <v>0</v>
      </c>
      <c r="O21" s="390"/>
    </row>
    <row r="22" spans="1:15" ht="21" customHeight="1">
      <c r="A22" s="435" t="s">
        <v>145</v>
      </c>
      <c r="B22" s="807" t="s">
        <v>146</v>
      </c>
      <c r="C22" s="1021">
        <f t="shared" si="1"/>
        <v>7</v>
      </c>
      <c r="D22" s="1031">
        <v>5</v>
      </c>
      <c r="E22" s="1022">
        <f t="shared" si="2"/>
        <v>0</v>
      </c>
      <c r="F22" s="1031">
        <v>0</v>
      </c>
      <c r="G22" s="1031">
        <v>0</v>
      </c>
      <c r="H22" s="1031">
        <v>0</v>
      </c>
      <c r="I22" s="1031">
        <v>1</v>
      </c>
      <c r="J22" s="1031">
        <v>1</v>
      </c>
      <c r="K22" s="1031">
        <v>0</v>
      </c>
      <c r="L22" s="1031">
        <v>0</v>
      </c>
      <c r="M22" s="1031">
        <v>0</v>
      </c>
      <c r="N22" s="1026">
        <v>0</v>
      </c>
      <c r="O22" s="390"/>
    </row>
    <row r="23" spans="1:15" ht="25.5">
      <c r="A23" s="435" t="s">
        <v>147</v>
      </c>
      <c r="B23" s="431" t="s">
        <v>148</v>
      </c>
      <c r="C23" s="1021">
        <f t="shared" si="1"/>
        <v>0</v>
      </c>
      <c r="D23" s="1026">
        <v>0</v>
      </c>
      <c r="E23" s="1022">
        <f t="shared" si="2"/>
        <v>0</v>
      </c>
      <c r="F23" s="1026">
        <v>0</v>
      </c>
      <c r="G23" s="1026">
        <v>0</v>
      </c>
      <c r="H23" s="1026">
        <v>0</v>
      </c>
      <c r="I23" s="1026">
        <v>0</v>
      </c>
      <c r="J23" s="1026">
        <v>0</v>
      </c>
      <c r="K23" s="1026">
        <v>0</v>
      </c>
      <c r="L23" s="1026">
        <v>0</v>
      </c>
      <c r="M23" s="1026">
        <v>0</v>
      </c>
      <c r="N23" s="1026">
        <v>0</v>
      </c>
      <c r="O23" s="390"/>
    </row>
    <row r="24" spans="1:15" ht="21" customHeight="1">
      <c r="A24" s="435" t="s">
        <v>149</v>
      </c>
      <c r="B24" s="807" t="s">
        <v>150</v>
      </c>
      <c r="C24" s="1021">
        <f t="shared" si="1"/>
        <v>84</v>
      </c>
      <c r="D24" s="1026">
        <v>65</v>
      </c>
      <c r="E24" s="1022">
        <f t="shared" si="2"/>
        <v>11</v>
      </c>
      <c r="F24" s="1026">
        <v>6</v>
      </c>
      <c r="G24" s="1026">
        <v>5</v>
      </c>
      <c r="H24" s="1026">
        <v>0</v>
      </c>
      <c r="I24" s="1026">
        <v>6</v>
      </c>
      <c r="J24" s="1026">
        <v>2</v>
      </c>
      <c r="K24" s="1026">
        <v>0</v>
      </c>
      <c r="L24" s="1026">
        <v>0</v>
      </c>
      <c r="M24" s="1026">
        <v>0</v>
      </c>
      <c r="N24" s="1026">
        <v>0</v>
      </c>
      <c r="O24" s="390"/>
    </row>
    <row r="25" spans="1:15" ht="21" customHeight="1">
      <c r="A25" s="828" t="s">
        <v>53</v>
      </c>
      <c r="B25" s="810" t="s">
        <v>151</v>
      </c>
      <c r="C25" s="1021">
        <f t="shared" si="1"/>
        <v>1613</v>
      </c>
      <c r="D25" s="1021">
        <f>9+20+13+73+32+27+10+70+146+81+9</f>
        <v>490</v>
      </c>
      <c r="E25" s="1022">
        <f t="shared" si="2"/>
        <v>985</v>
      </c>
      <c r="F25" s="1021">
        <f>2+18+25+35+10+3+1+0+5+1+0</f>
        <v>100</v>
      </c>
      <c r="G25" s="1021">
        <f>6+74+52+134+44+55+62+119+123+159+57</f>
        <v>885</v>
      </c>
      <c r="H25" s="1021">
        <v>0</v>
      </c>
      <c r="I25" s="1021">
        <f>6+39+6+1+7+3+52+1+2+1</f>
        <v>118</v>
      </c>
      <c r="J25" s="1021">
        <v>20</v>
      </c>
      <c r="K25" s="1021">
        <v>0</v>
      </c>
      <c r="L25" s="1021">
        <v>0</v>
      </c>
      <c r="M25" s="1021">
        <v>0</v>
      </c>
      <c r="N25" s="1032">
        <v>0</v>
      </c>
      <c r="O25" s="390"/>
    </row>
    <row r="26" spans="1:15" s="413" customFormat="1" ht="25.5">
      <c r="A26" s="836" t="s">
        <v>553</v>
      </c>
      <c r="B26" s="811" t="s">
        <v>152</v>
      </c>
      <c r="C26" s="804">
        <f>(C18+C19)/C17</f>
        <v>0.8761269383339344</v>
      </c>
      <c r="D26" s="804">
        <f aca="true" t="shared" si="5" ref="D26:N26">(D18+C19)/D17</f>
        <v>0.8002832861189801</v>
      </c>
      <c r="E26" s="804">
        <f t="shared" si="5"/>
        <v>0.8059048660470203</v>
      </c>
      <c r="F26" s="804">
        <f t="shared" si="5"/>
        <v>1.2130434782608697</v>
      </c>
      <c r="G26" s="804">
        <f t="shared" si="5"/>
        <v>0.7867417135709819</v>
      </c>
      <c r="H26" s="804">
        <f>(H18+H19)/H17</f>
        <v>1</v>
      </c>
      <c r="I26" s="804">
        <f t="shared" si="5"/>
        <v>0.964487342924786</v>
      </c>
      <c r="J26" s="804">
        <f t="shared" si="5"/>
        <v>0.7017543859649122</v>
      </c>
      <c r="K26" s="804">
        <f>(K18+J19)/K17</f>
        <v>1.2857142857142858</v>
      </c>
      <c r="L26" s="804">
        <f>(L18+K19)/L17</f>
        <v>1</v>
      </c>
      <c r="M26" s="804" t="e">
        <f t="shared" si="5"/>
        <v>#DIV/0!</v>
      </c>
      <c r="N26" s="804">
        <f t="shared" si="5"/>
        <v>1</v>
      </c>
      <c r="O26" s="390"/>
    </row>
    <row r="27" spans="3:14" ht="15">
      <c r="C27" s="821">
        <f>C25+C17+C14-C11</f>
        <v>0</v>
      </c>
      <c r="D27" s="821">
        <f>D25+D17+D14-D11</f>
        <v>0</v>
      </c>
      <c r="E27" s="821">
        <f aca="true" t="shared" si="6" ref="E27:N27">E25+E17+E14-E11</f>
        <v>0</v>
      </c>
      <c r="F27" s="821">
        <f t="shared" si="6"/>
        <v>0</v>
      </c>
      <c r="G27" s="821">
        <f t="shared" si="6"/>
        <v>0</v>
      </c>
      <c r="H27" s="821">
        <f t="shared" si="6"/>
        <v>0</v>
      </c>
      <c r="I27" s="821">
        <f t="shared" si="6"/>
        <v>0</v>
      </c>
      <c r="J27" s="821">
        <f>J25+J17+J14-J11</f>
        <v>0</v>
      </c>
      <c r="K27" s="821">
        <f t="shared" si="6"/>
        <v>0</v>
      </c>
      <c r="L27" s="821">
        <f t="shared" si="6"/>
        <v>0</v>
      </c>
      <c r="M27" s="821">
        <f t="shared" si="6"/>
        <v>0</v>
      </c>
      <c r="N27" s="821">
        <f t="shared" si="6"/>
        <v>0</v>
      </c>
    </row>
    <row r="28" spans="3:14" ht="15">
      <c r="C28" s="821"/>
      <c r="D28" s="821"/>
      <c r="E28" s="821"/>
      <c r="F28" s="821"/>
      <c r="G28" s="821"/>
      <c r="H28" s="821"/>
      <c r="I28" s="821"/>
      <c r="J28" s="821"/>
      <c r="K28" s="821">
        <f>K25+K17+K15+K14-K11</f>
        <v>0</v>
      </c>
      <c r="L28" s="821">
        <f>L25+L17+L15+L14-L11</f>
        <v>0</v>
      </c>
      <c r="M28" s="821">
        <f>M25+M17+M15+M14-M11</f>
        <v>0</v>
      </c>
      <c r="N28" s="821">
        <f>N25+N17+N15+N14-N11</f>
        <v>0</v>
      </c>
    </row>
  </sheetData>
  <sheetProtection/>
  <mergeCells count="25">
    <mergeCell ref="A10:B10"/>
    <mergeCell ref="M7:M9"/>
    <mergeCell ref="N7:N9"/>
    <mergeCell ref="E8:E9"/>
    <mergeCell ref="L7:L9"/>
    <mergeCell ref="A6:B9"/>
    <mergeCell ref="C6:C9"/>
    <mergeCell ref="D6:N6"/>
    <mergeCell ref="D7:D9"/>
    <mergeCell ref="E7:G7"/>
    <mergeCell ref="D3:K3"/>
    <mergeCell ref="O8:P8"/>
    <mergeCell ref="J7:J9"/>
    <mergeCell ref="K7:K9"/>
    <mergeCell ref="F8:G8"/>
    <mergeCell ref="H7:H9"/>
    <mergeCell ref="L3:N3"/>
    <mergeCell ref="L4:N4"/>
    <mergeCell ref="L5:N5"/>
    <mergeCell ref="I7:I9"/>
    <mergeCell ref="A1:B1"/>
    <mergeCell ref="D1:K1"/>
    <mergeCell ref="L1:N1"/>
    <mergeCell ref="D2:K2"/>
    <mergeCell ref="L2:N2"/>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F496"/>
  <sheetViews>
    <sheetView showZeros="0" view="pageBreakPreview" zoomScaleNormal="80" zoomScaleSheetLayoutView="100" zoomScalePageLayoutView="0" workbookViewId="0" topLeftCell="A7">
      <selection activeCell="C16" sqref="C16"/>
    </sheetView>
  </sheetViews>
  <sheetFormatPr defaultColWidth="9.00390625" defaultRowHeight="15.75"/>
  <cols>
    <col min="1" max="1" width="4.875" style="33" customWidth="1"/>
    <col min="2" max="2" width="70.75390625" style="33" customWidth="1"/>
    <col min="3" max="3" width="51.375" style="33" customWidth="1"/>
    <col min="4" max="16384" width="9.00390625" style="33" customWidth="1"/>
  </cols>
  <sheetData>
    <row r="1" spans="1:3" s="1" customFormat="1" ht="31.5" customHeight="1">
      <c r="A1" s="1506" t="s">
        <v>182</v>
      </c>
      <c r="B1" s="1507"/>
      <c r="C1" s="1507"/>
    </row>
    <row r="2" spans="1:3" ht="18.75" customHeight="1">
      <c r="A2" s="1508" t="s">
        <v>70</v>
      </c>
      <c r="B2" s="1508"/>
      <c r="C2" s="496" t="s">
        <v>340</v>
      </c>
    </row>
    <row r="3" spans="1:3" ht="13.5" customHeight="1">
      <c r="A3" s="1505" t="s">
        <v>6</v>
      </c>
      <c r="B3" s="1505"/>
      <c r="C3" s="5">
        <v>1</v>
      </c>
    </row>
    <row r="4" spans="1:4" ht="15" customHeight="1">
      <c r="A4" s="802" t="s">
        <v>52</v>
      </c>
      <c r="B4" s="803" t="s">
        <v>564</v>
      </c>
      <c r="C4" s="1033">
        <f>'01'!C21</f>
        <v>27</v>
      </c>
      <c r="D4" s="823">
        <f>C5+C6+C7+C8+C9+C10+C11-C4</f>
        <v>0</v>
      </c>
    </row>
    <row r="5" spans="1:4" s="6" customFormat="1" ht="14.25" customHeight="1">
      <c r="A5" s="5" t="s">
        <v>54</v>
      </c>
      <c r="B5" s="503" t="s">
        <v>153</v>
      </c>
      <c r="C5" s="1034">
        <v>3</v>
      </c>
      <c r="D5" s="824"/>
    </row>
    <row r="6" spans="1:4" s="6" customFormat="1" ht="15" customHeight="1">
      <c r="A6" s="5" t="s">
        <v>55</v>
      </c>
      <c r="B6" s="503" t="s">
        <v>154</v>
      </c>
      <c r="C6" s="1034">
        <v>18</v>
      </c>
      <c r="D6" s="824"/>
    </row>
    <row r="7" spans="1:4" s="6" customFormat="1" ht="14.25" customHeight="1">
      <c r="A7" s="5" t="s">
        <v>141</v>
      </c>
      <c r="B7" s="503" t="s">
        <v>155</v>
      </c>
      <c r="C7" s="1034">
        <v>3</v>
      </c>
      <c r="D7" s="824"/>
    </row>
    <row r="8" spans="1:4" s="6" customFormat="1" ht="15" customHeight="1">
      <c r="A8" s="5" t="s">
        <v>143</v>
      </c>
      <c r="B8" s="503" t="s">
        <v>156</v>
      </c>
      <c r="C8" s="1034">
        <v>1</v>
      </c>
      <c r="D8" s="824"/>
    </row>
    <row r="9" spans="1:4" s="6" customFormat="1" ht="15" customHeight="1">
      <c r="A9" s="5" t="s">
        <v>145</v>
      </c>
      <c r="B9" s="503" t="s">
        <v>157</v>
      </c>
      <c r="C9" s="1034">
        <v>0</v>
      </c>
      <c r="D9" s="824"/>
    </row>
    <row r="10" spans="1:4" s="6" customFormat="1" ht="14.25" customHeight="1">
      <c r="A10" s="5" t="s">
        <v>147</v>
      </c>
      <c r="B10" s="503" t="s">
        <v>158</v>
      </c>
      <c r="C10" s="1034">
        <v>2</v>
      </c>
      <c r="D10" s="824"/>
    </row>
    <row r="11" spans="1:4" s="6" customFormat="1" ht="14.25" customHeight="1">
      <c r="A11" s="5" t="s">
        <v>149</v>
      </c>
      <c r="B11" s="503" t="s">
        <v>160</v>
      </c>
      <c r="C11" s="1034">
        <v>0</v>
      </c>
      <c r="D11" s="824"/>
    </row>
    <row r="12" spans="1:4" s="32" customFormat="1" ht="15" customHeight="1">
      <c r="A12" s="802" t="s">
        <v>53</v>
      </c>
      <c r="B12" s="803" t="s">
        <v>563</v>
      </c>
      <c r="C12" s="1035">
        <f>'01'!C22</f>
        <v>7</v>
      </c>
      <c r="D12" s="822">
        <f>C14+C13-C12</f>
        <v>0</v>
      </c>
    </row>
    <row r="13" spans="1:4" s="6" customFormat="1" ht="15" customHeight="1">
      <c r="A13" s="5" t="s">
        <v>56</v>
      </c>
      <c r="B13" s="503" t="s">
        <v>159</v>
      </c>
      <c r="C13" s="1034">
        <v>7</v>
      </c>
      <c r="D13" s="824"/>
    </row>
    <row r="14" spans="1:4" ht="15" customHeight="1">
      <c r="A14" s="5" t="s">
        <v>57</v>
      </c>
      <c r="B14" s="503" t="s">
        <v>160</v>
      </c>
      <c r="C14" s="1034">
        <v>0</v>
      </c>
      <c r="D14" s="823"/>
    </row>
    <row r="15" spans="1:4" ht="15" customHeight="1">
      <c r="A15" s="802" t="s">
        <v>58</v>
      </c>
      <c r="B15" s="803" t="s">
        <v>150</v>
      </c>
      <c r="C15" s="1035">
        <f>'01'!C24</f>
        <v>84</v>
      </c>
      <c r="D15" s="823">
        <f>C18+C17+C16-C15</f>
        <v>0</v>
      </c>
    </row>
    <row r="16" spans="1:4" ht="15" customHeight="1">
      <c r="A16" s="5" t="s">
        <v>161</v>
      </c>
      <c r="B16" s="502" t="s">
        <v>162</v>
      </c>
      <c r="C16" s="1034">
        <f>5+74+2</f>
        <v>81</v>
      </c>
      <c r="D16" s="823"/>
    </row>
    <row r="17" spans="1:4" s="6" customFormat="1" ht="16.5" customHeight="1">
      <c r="A17" s="5" t="s">
        <v>163</v>
      </c>
      <c r="B17" s="503" t="s">
        <v>164</v>
      </c>
      <c r="C17" s="1034">
        <v>2</v>
      </c>
      <c r="D17" s="824"/>
    </row>
    <row r="18" spans="1:4" s="6" customFormat="1" ht="15" customHeight="1">
      <c r="A18" s="5" t="s">
        <v>165</v>
      </c>
      <c r="B18" s="503" t="s">
        <v>166</v>
      </c>
      <c r="C18" s="1034">
        <v>1</v>
      </c>
      <c r="D18" s="824"/>
    </row>
    <row r="19" spans="1:4" s="6" customFormat="1" ht="15" customHeight="1">
      <c r="A19" s="802" t="s">
        <v>73</v>
      </c>
      <c r="B19" s="803" t="s">
        <v>562</v>
      </c>
      <c r="C19" s="1035">
        <f>'01'!C19</f>
        <v>176</v>
      </c>
      <c r="D19" s="824">
        <f>C25+C24+C23+C22+C21+C20-C19</f>
        <v>0</v>
      </c>
    </row>
    <row r="20" spans="1:4" s="6" customFormat="1" ht="14.25" customHeight="1">
      <c r="A20" s="5" t="s">
        <v>167</v>
      </c>
      <c r="B20" s="503" t="s">
        <v>168</v>
      </c>
      <c r="C20" s="1034">
        <f>21+7+17+2+0+16</f>
        <v>63</v>
      </c>
      <c r="D20" s="824"/>
    </row>
    <row r="21" spans="1:4" s="6" customFormat="1" ht="14.25" customHeight="1">
      <c r="A21" s="5" t="s">
        <v>169</v>
      </c>
      <c r="B21" s="503" t="s">
        <v>170</v>
      </c>
      <c r="C21" s="1034">
        <v>1</v>
      </c>
      <c r="D21" s="824"/>
    </row>
    <row r="22" spans="1:4" s="6" customFormat="1" ht="14.25" customHeight="1">
      <c r="A22" s="5" t="s">
        <v>171</v>
      </c>
      <c r="B22" s="503" t="s">
        <v>172</v>
      </c>
      <c r="C22" s="1034">
        <v>3</v>
      </c>
      <c r="D22" s="824"/>
    </row>
    <row r="23" spans="1:4" s="6" customFormat="1" ht="15.75" customHeight="1">
      <c r="A23" s="5" t="s">
        <v>173</v>
      </c>
      <c r="B23" s="503" t="s">
        <v>156</v>
      </c>
      <c r="C23" s="1034">
        <f>8+52</f>
        <v>60</v>
      </c>
      <c r="D23" s="824"/>
    </row>
    <row r="24" spans="1:4" s="6" customFormat="1" ht="15.75" customHeight="1">
      <c r="A24" s="5" t="s">
        <v>174</v>
      </c>
      <c r="B24" s="503" t="s">
        <v>157</v>
      </c>
      <c r="C24" s="1034">
        <v>36</v>
      </c>
      <c r="D24" s="824"/>
    </row>
    <row r="25" spans="1:4" s="6" customFormat="1" ht="15" customHeight="1">
      <c r="A25" s="5" t="s">
        <v>175</v>
      </c>
      <c r="B25" s="503" t="s">
        <v>176</v>
      </c>
      <c r="C25" s="1034">
        <v>13</v>
      </c>
      <c r="D25" s="824"/>
    </row>
    <row r="26" spans="1:4" s="6" customFormat="1" ht="15" customHeight="1">
      <c r="A26" s="802" t="s">
        <v>74</v>
      </c>
      <c r="B26" s="803" t="s">
        <v>561</v>
      </c>
      <c r="C26" s="1035">
        <f>'01'!C25</f>
        <v>1613</v>
      </c>
      <c r="D26" s="824">
        <f>C29+C28+C27-C26</f>
        <v>0</v>
      </c>
    </row>
    <row r="27" spans="1:6" s="6" customFormat="1" ht="12" customHeight="1">
      <c r="A27" s="5" t="s">
        <v>177</v>
      </c>
      <c r="B27" s="503" t="s">
        <v>168</v>
      </c>
      <c r="C27" s="1034">
        <f>16+104+72+259+80+92+84+231+294+219+55+0</f>
        <v>1506</v>
      </c>
      <c r="D27" s="824"/>
      <c r="E27" s="824"/>
      <c r="F27" s="824"/>
    </row>
    <row r="28" spans="1:6" ht="13.5" customHeight="1">
      <c r="A28" s="5" t="s">
        <v>178</v>
      </c>
      <c r="B28" s="503" t="s">
        <v>170</v>
      </c>
      <c r="C28" s="1034">
        <v>40</v>
      </c>
      <c r="D28" s="823"/>
      <c r="E28" s="1003"/>
      <c r="F28" s="823"/>
    </row>
    <row r="29" spans="1:6" s="6" customFormat="1" ht="14.25" customHeight="1" thickBot="1">
      <c r="A29" s="800" t="s">
        <v>179</v>
      </c>
      <c r="B29" s="801" t="s">
        <v>180</v>
      </c>
      <c r="C29" s="1036">
        <v>67</v>
      </c>
      <c r="D29" s="824"/>
      <c r="E29" s="824"/>
      <c r="F29" s="824"/>
    </row>
    <row r="30" spans="1:6" ht="19.5" customHeight="1" thickTop="1">
      <c r="A30" s="35"/>
      <c r="B30" s="873"/>
      <c r="C30" s="874" t="str">
        <f>'Thong tin'!B9</f>
        <v>Bình Thuận, ngày 04 tháng 10 năm 2016</v>
      </c>
      <c r="E30" s="823"/>
      <c r="F30" s="823"/>
    </row>
    <row r="31" spans="1:6" ht="17.25" customHeight="1">
      <c r="A31" s="35"/>
      <c r="B31" s="883" t="s">
        <v>4</v>
      </c>
      <c r="C31" s="875" t="str">
        <f>'Thong tin'!B7</f>
        <v>KT. CỤC TRƯỞNG</v>
      </c>
      <c r="E31" s="823"/>
      <c r="F31" s="823"/>
    </row>
    <row r="32" spans="2:3" s="36" customFormat="1" ht="16.5">
      <c r="B32" s="876"/>
      <c r="C32" s="877" t="str">
        <f>'Thong tin'!B8</f>
        <v>PHÓ CỤC TRƯỞNG</v>
      </c>
    </row>
    <row r="33" spans="2:3" ht="15.75" customHeight="1">
      <c r="B33" s="878"/>
      <c r="C33" s="879"/>
    </row>
    <row r="34" spans="2:3" ht="15.75" customHeight="1">
      <c r="B34" s="878"/>
      <c r="C34" s="880"/>
    </row>
    <row r="35" spans="2:3" ht="15.75" customHeight="1">
      <c r="B35" s="878"/>
      <c r="C35" s="879"/>
    </row>
    <row r="36" spans="2:3" ht="16.5">
      <c r="B36" s="881" t="str">
        <f>'Thong tin'!B5</f>
        <v>Trần Quốc Bảo</v>
      </c>
      <c r="C36" s="882" t="str">
        <f>'Thong tin'!B6</f>
        <v>Trần Nam</v>
      </c>
    </row>
    <row r="37" spans="2:3" ht="18.75">
      <c r="B37" s="405"/>
      <c r="C37" s="405"/>
    </row>
    <row r="38" spans="2:3" ht="18.75">
      <c r="B38" s="405"/>
      <c r="C38" s="405"/>
    </row>
    <row r="39" spans="2:3" ht="18.75" hidden="1">
      <c r="B39" s="405"/>
      <c r="C39" s="405"/>
    </row>
    <row r="40" ht="15.75" customHeight="1" hidden="1"/>
    <row r="41" ht="15.75" hidden="1"/>
    <row r="42" ht="15.75" hidden="1"/>
    <row r="43" spans="1:3" ht="16.5" customHeight="1" hidden="1">
      <c r="A43" s="1511" t="s">
        <v>182</v>
      </c>
      <c r="B43" s="1512"/>
      <c r="C43" s="1512"/>
    </row>
    <row r="44" spans="1:3" ht="18.75" hidden="1">
      <c r="A44" s="1509" t="s">
        <v>70</v>
      </c>
      <c r="B44" s="1510"/>
      <c r="C44" s="387" t="s">
        <v>340</v>
      </c>
    </row>
    <row r="45" spans="1:3" ht="15.75" hidden="1">
      <c r="A45" s="1513" t="s">
        <v>6</v>
      </c>
      <c r="B45" s="1514"/>
      <c r="C45" s="399">
        <v>1</v>
      </c>
    </row>
    <row r="46" spans="1:3" ht="19.5" customHeight="1" hidden="1">
      <c r="A46" s="397" t="s">
        <v>52</v>
      </c>
      <c r="B46" s="398" t="s">
        <v>347</v>
      </c>
      <c r="C46" s="400">
        <f>SUM(C47:C52)</f>
        <v>0</v>
      </c>
    </row>
    <row r="47" spans="1:3" ht="19.5" customHeight="1" hidden="1">
      <c r="A47" s="5" t="s">
        <v>54</v>
      </c>
      <c r="B47" s="34" t="s">
        <v>153</v>
      </c>
      <c r="C47" s="401"/>
    </row>
    <row r="48" spans="1:3" ht="19.5" customHeight="1" hidden="1">
      <c r="A48" s="5" t="s">
        <v>55</v>
      </c>
      <c r="B48" s="34" t="s">
        <v>154</v>
      </c>
      <c r="C48" s="401"/>
    </row>
    <row r="49" spans="1:3" ht="19.5" customHeight="1" hidden="1">
      <c r="A49" s="5" t="s">
        <v>141</v>
      </c>
      <c r="B49" s="34" t="s">
        <v>155</v>
      </c>
      <c r="C49" s="401"/>
    </row>
    <row r="50" spans="1:3" ht="19.5" customHeight="1" hidden="1">
      <c r="A50" s="5" t="s">
        <v>143</v>
      </c>
      <c r="B50" s="34" t="s">
        <v>156</v>
      </c>
      <c r="C50" s="401"/>
    </row>
    <row r="51" spans="1:3" ht="19.5" customHeight="1" hidden="1">
      <c r="A51" s="5" t="s">
        <v>145</v>
      </c>
      <c r="B51" s="34" t="s">
        <v>157</v>
      </c>
      <c r="C51" s="401"/>
    </row>
    <row r="52" spans="1:3" ht="19.5" customHeight="1" hidden="1">
      <c r="A52" s="5" t="s">
        <v>147</v>
      </c>
      <c r="B52" s="34" t="s">
        <v>158</v>
      </c>
      <c r="C52" s="401"/>
    </row>
    <row r="53" spans="1:3" ht="19.5" customHeight="1" hidden="1">
      <c r="A53" s="397" t="s">
        <v>53</v>
      </c>
      <c r="B53" s="398" t="s">
        <v>345</v>
      </c>
      <c r="C53" s="400">
        <f>SUM(C54:C55)</f>
        <v>0</v>
      </c>
    </row>
    <row r="54" spans="1:3" ht="19.5" customHeight="1" hidden="1">
      <c r="A54" s="5" t="s">
        <v>56</v>
      </c>
      <c r="B54" s="34" t="s">
        <v>159</v>
      </c>
      <c r="C54" s="401"/>
    </row>
    <row r="55" spans="1:3" ht="19.5" customHeight="1" hidden="1">
      <c r="A55" s="5" t="s">
        <v>57</v>
      </c>
      <c r="B55" s="34" t="s">
        <v>160</v>
      </c>
      <c r="C55" s="401"/>
    </row>
    <row r="56" spans="1:3" ht="19.5" customHeight="1" hidden="1">
      <c r="A56" s="397" t="s">
        <v>58</v>
      </c>
      <c r="B56" s="398" t="s">
        <v>150</v>
      </c>
      <c r="C56" s="400">
        <f>SUM(C57:C59)</f>
        <v>0</v>
      </c>
    </row>
    <row r="57" spans="1:3" ht="19.5" customHeight="1" hidden="1">
      <c r="A57" s="5" t="s">
        <v>161</v>
      </c>
      <c r="B57" s="37" t="s">
        <v>162</v>
      </c>
      <c r="C57" s="401"/>
    </row>
    <row r="58" spans="1:3" ht="19.5" customHeight="1" hidden="1">
      <c r="A58" s="5" t="s">
        <v>163</v>
      </c>
      <c r="B58" s="34" t="s">
        <v>164</v>
      </c>
      <c r="C58" s="401"/>
    </row>
    <row r="59" spans="1:3" ht="19.5" customHeight="1" hidden="1">
      <c r="A59" s="5" t="s">
        <v>165</v>
      </c>
      <c r="B59" s="34" t="s">
        <v>166</v>
      </c>
      <c r="C59" s="401"/>
    </row>
    <row r="60" spans="1:3" ht="19.5" customHeight="1" hidden="1">
      <c r="A60" s="397" t="s">
        <v>73</v>
      </c>
      <c r="B60" s="398" t="s">
        <v>346</v>
      </c>
      <c r="C60" s="400">
        <f>SUM(C61:C66)</f>
        <v>0</v>
      </c>
    </row>
    <row r="61" spans="1:3" ht="19.5" customHeight="1" hidden="1">
      <c r="A61" s="5" t="s">
        <v>167</v>
      </c>
      <c r="B61" s="34" t="s">
        <v>168</v>
      </c>
      <c r="C61" s="401"/>
    </row>
    <row r="62" spans="1:3" ht="19.5" customHeight="1" hidden="1">
      <c r="A62" s="5" t="s">
        <v>169</v>
      </c>
      <c r="B62" s="34" t="s">
        <v>170</v>
      </c>
      <c r="C62" s="401"/>
    </row>
    <row r="63" spans="1:3" ht="19.5" customHeight="1" hidden="1">
      <c r="A63" s="5" t="s">
        <v>171</v>
      </c>
      <c r="B63" s="34" t="s">
        <v>172</v>
      </c>
      <c r="C63" s="401"/>
    </row>
    <row r="64" spans="1:3" ht="19.5" customHeight="1" hidden="1">
      <c r="A64" s="5" t="s">
        <v>173</v>
      </c>
      <c r="B64" s="34" t="s">
        <v>156</v>
      </c>
      <c r="C64" s="401"/>
    </row>
    <row r="65" spans="1:3" ht="19.5" customHeight="1" hidden="1">
      <c r="A65" s="5" t="s">
        <v>174</v>
      </c>
      <c r="B65" s="34" t="s">
        <v>157</v>
      </c>
      <c r="C65" s="401"/>
    </row>
    <row r="66" spans="1:3" ht="19.5" customHeight="1" hidden="1">
      <c r="A66" s="5" t="s">
        <v>175</v>
      </c>
      <c r="B66" s="34" t="s">
        <v>176</v>
      </c>
      <c r="C66" s="401"/>
    </row>
    <row r="67" spans="1:3" ht="19.5" customHeight="1" hidden="1">
      <c r="A67" s="397" t="s">
        <v>74</v>
      </c>
      <c r="B67" s="398" t="s">
        <v>348</v>
      </c>
      <c r="C67" s="400">
        <f>SUM(C68:C70)</f>
        <v>25</v>
      </c>
    </row>
    <row r="68" spans="1:3" ht="19.5" customHeight="1" hidden="1">
      <c r="A68" s="5" t="s">
        <v>177</v>
      </c>
      <c r="B68" s="34" t="s">
        <v>168</v>
      </c>
      <c r="C68" s="401">
        <v>25</v>
      </c>
    </row>
    <row r="69" spans="1:3" ht="19.5" customHeight="1" hidden="1">
      <c r="A69" s="5" t="s">
        <v>178</v>
      </c>
      <c r="B69" s="34" t="s">
        <v>170</v>
      </c>
      <c r="C69" s="401">
        <v>0</v>
      </c>
    </row>
    <row r="70" spans="1:3" ht="19.5" customHeight="1" hidden="1">
      <c r="A70" s="5" t="s">
        <v>179</v>
      </c>
      <c r="B70" s="34" t="s">
        <v>180</v>
      </c>
      <c r="C70" s="401">
        <v>0</v>
      </c>
    </row>
    <row r="71" ht="15.75" hidden="1"/>
    <row r="72" ht="15.75" hidden="1"/>
    <row r="73" ht="15.75" hidden="1"/>
    <row r="74" ht="15.75" hidden="1"/>
    <row r="75" ht="15.75" hidden="1"/>
    <row r="76" ht="15.75" hidden="1"/>
    <row r="77" ht="15.75" hidden="1"/>
    <row r="78" ht="15.75" customHeight="1" hidden="1"/>
    <row r="79" ht="15.75" hidden="1"/>
    <row r="80" ht="15.75" hidden="1"/>
    <row r="81" spans="1:3" ht="16.5" customHeight="1" hidden="1">
      <c r="A81" s="1511" t="s">
        <v>182</v>
      </c>
      <c r="B81" s="1512"/>
      <c r="C81" s="1512"/>
    </row>
    <row r="82" spans="1:3" ht="18.75" hidden="1">
      <c r="A82" s="1509" t="s">
        <v>70</v>
      </c>
      <c r="B82" s="1510"/>
      <c r="C82" s="387" t="s">
        <v>340</v>
      </c>
    </row>
    <row r="83" spans="1:3" ht="24.75" customHeight="1" hidden="1">
      <c r="A83" s="1513" t="s">
        <v>6</v>
      </c>
      <c r="B83" s="1514"/>
      <c r="C83" s="399">
        <v>1</v>
      </c>
    </row>
    <row r="84" spans="1:3" ht="24.75" customHeight="1" hidden="1">
      <c r="A84" s="397" t="s">
        <v>52</v>
      </c>
      <c r="B84" s="398" t="s">
        <v>347</v>
      </c>
      <c r="C84" s="400">
        <f>SUM(C85:C90)</f>
        <v>2</v>
      </c>
    </row>
    <row r="85" spans="1:3" ht="24.75" customHeight="1" hidden="1">
      <c r="A85" s="5" t="s">
        <v>54</v>
      </c>
      <c r="B85" s="34" t="s">
        <v>153</v>
      </c>
      <c r="C85" s="401"/>
    </row>
    <row r="86" spans="1:3" ht="24.75" customHeight="1" hidden="1">
      <c r="A86" s="5" t="s">
        <v>55</v>
      </c>
      <c r="B86" s="34" t="s">
        <v>154</v>
      </c>
      <c r="C86" s="401"/>
    </row>
    <row r="87" spans="1:3" ht="24.75" customHeight="1" hidden="1">
      <c r="A87" s="5" t="s">
        <v>141</v>
      </c>
      <c r="B87" s="34" t="s">
        <v>155</v>
      </c>
      <c r="C87" s="401">
        <v>2</v>
      </c>
    </row>
    <row r="88" spans="1:3" ht="24.75" customHeight="1" hidden="1">
      <c r="A88" s="5" t="s">
        <v>143</v>
      </c>
      <c r="B88" s="34" t="s">
        <v>156</v>
      </c>
      <c r="C88" s="401"/>
    </row>
    <row r="89" spans="1:3" ht="24.75" customHeight="1" hidden="1">
      <c r="A89" s="5" t="s">
        <v>145</v>
      </c>
      <c r="B89" s="34" t="s">
        <v>157</v>
      </c>
      <c r="C89" s="401"/>
    </row>
    <row r="90" spans="1:3" ht="24.75" customHeight="1" hidden="1">
      <c r="A90" s="5" t="s">
        <v>147</v>
      </c>
      <c r="B90" s="34" t="s">
        <v>158</v>
      </c>
      <c r="C90" s="401"/>
    </row>
    <row r="91" spans="1:3" ht="24.75" customHeight="1" hidden="1">
      <c r="A91" s="397" t="s">
        <v>53</v>
      </c>
      <c r="B91" s="398" t="s">
        <v>345</v>
      </c>
      <c r="C91" s="400">
        <f>SUM(C92:C93)</f>
        <v>0</v>
      </c>
    </row>
    <row r="92" spans="1:3" ht="24.75" customHeight="1" hidden="1">
      <c r="A92" s="5" t="s">
        <v>56</v>
      </c>
      <c r="B92" s="34" t="s">
        <v>159</v>
      </c>
      <c r="C92" s="401"/>
    </row>
    <row r="93" spans="1:3" ht="24.75" customHeight="1" hidden="1">
      <c r="A93" s="5" t="s">
        <v>57</v>
      </c>
      <c r="B93" s="34" t="s">
        <v>160</v>
      </c>
      <c r="C93" s="401"/>
    </row>
    <row r="94" spans="1:3" ht="24.75" customHeight="1" hidden="1">
      <c r="A94" s="397" t="s">
        <v>58</v>
      </c>
      <c r="B94" s="398" t="s">
        <v>150</v>
      </c>
      <c r="C94" s="400">
        <f>SUM(C95:C97)</f>
        <v>0</v>
      </c>
    </row>
    <row r="95" spans="1:3" ht="24.75" customHeight="1" hidden="1">
      <c r="A95" s="5" t="s">
        <v>161</v>
      </c>
      <c r="B95" s="37" t="s">
        <v>162</v>
      </c>
      <c r="C95" s="401"/>
    </row>
    <row r="96" spans="1:3" ht="24.75" customHeight="1" hidden="1">
      <c r="A96" s="5" t="s">
        <v>163</v>
      </c>
      <c r="B96" s="34" t="s">
        <v>164</v>
      </c>
      <c r="C96" s="401"/>
    </row>
    <row r="97" spans="1:3" ht="24.75" customHeight="1" hidden="1">
      <c r="A97" s="5" t="s">
        <v>165</v>
      </c>
      <c r="B97" s="34" t="s">
        <v>166</v>
      </c>
      <c r="C97" s="401"/>
    </row>
    <row r="98" spans="1:3" ht="24.75" customHeight="1" hidden="1">
      <c r="A98" s="397" t="s">
        <v>73</v>
      </c>
      <c r="B98" s="398" t="s">
        <v>346</v>
      </c>
      <c r="C98" s="400">
        <f>SUM(C99:C104)</f>
        <v>0</v>
      </c>
    </row>
    <row r="99" spans="1:3" ht="24.75" customHeight="1" hidden="1">
      <c r="A99" s="5" t="s">
        <v>167</v>
      </c>
      <c r="B99" s="34" t="s">
        <v>168</v>
      </c>
      <c r="C99" s="401"/>
    </row>
    <row r="100" spans="1:3" ht="24.75" customHeight="1" hidden="1">
      <c r="A100" s="5" t="s">
        <v>169</v>
      </c>
      <c r="B100" s="34" t="s">
        <v>170</v>
      </c>
      <c r="C100" s="401"/>
    </row>
    <row r="101" spans="1:3" ht="24.75" customHeight="1" hidden="1">
      <c r="A101" s="5" t="s">
        <v>171</v>
      </c>
      <c r="B101" s="34" t="s">
        <v>172</v>
      </c>
      <c r="C101" s="401"/>
    </row>
    <row r="102" spans="1:3" ht="24.75" customHeight="1" hidden="1">
      <c r="A102" s="5" t="s">
        <v>173</v>
      </c>
      <c r="B102" s="34" t="s">
        <v>156</v>
      </c>
      <c r="C102" s="401"/>
    </row>
    <row r="103" spans="1:3" ht="24.75" customHeight="1" hidden="1">
      <c r="A103" s="5" t="s">
        <v>174</v>
      </c>
      <c r="B103" s="34" t="s">
        <v>157</v>
      </c>
      <c r="C103" s="401"/>
    </row>
    <row r="104" spans="1:3" ht="24.75" customHeight="1" hidden="1">
      <c r="A104" s="5" t="s">
        <v>175</v>
      </c>
      <c r="B104" s="34" t="s">
        <v>176</v>
      </c>
      <c r="C104" s="401"/>
    </row>
    <row r="105" spans="1:3" ht="24.75" customHeight="1" hidden="1">
      <c r="A105" s="397" t="s">
        <v>74</v>
      </c>
      <c r="B105" s="398" t="s">
        <v>348</v>
      </c>
      <c r="C105" s="400">
        <f>SUM(C106:C108)</f>
        <v>46</v>
      </c>
    </row>
    <row r="106" spans="1:3" ht="24.75" customHeight="1" hidden="1">
      <c r="A106" s="5" t="s">
        <v>177</v>
      </c>
      <c r="B106" s="34" t="s">
        <v>168</v>
      </c>
      <c r="C106" s="401">
        <v>43</v>
      </c>
    </row>
    <row r="107" spans="1:3" ht="24.75" customHeight="1" hidden="1">
      <c r="A107" s="5" t="s">
        <v>178</v>
      </c>
      <c r="B107" s="34" t="s">
        <v>170</v>
      </c>
      <c r="C107" s="401"/>
    </row>
    <row r="108" spans="1:3" ht="24.75" customHeight="1" hidden="1">
      <c r="A108" s="5" t="s">
        <v>179</v>
      </c>
      <c r="B108" s="34" t="s">
        <v>180</v>
      </c>
      <c r="C108" s="401">
        <v>3</v>
      </c>
    </row>
    <row r="109" ht="15.75" hidden="1"/>
    <row r="110" ht="15.75" hidden="1"/>
    <row r="111" ht="15.75" hidden="1"/>
    <row r="112" ht="15.75" hidden="1"/>
    <row r="113" ht="15.75" hidden="1"/>
    <row r="114" ht="15.75" hidden="1"/>
    <row r="115" ht="15.75" hidden="1"/>
    <row r="116" ht="15.75" customHeight="1" hidden="1"/>
    <row r="117" ht="15.75" hidden="1"/>
    <row r="118" ht="15.75" hidden="1"/>
    <row r="119" spans="1:3" ht="16.5" customHeight="1" hidden="1">
      <c r="A119" s="1511" t="s">
        <v>182</v>
      </c>
      <c r="B119" s="1512"/>
      <c r="C119" s="1512"/>
    </row>
    <row r="120" spans="1:3" ht="18.75" hidden="1">
      <c r="A120" s="1509" t="s">
        <v>70</v>
      </c>
      <c r="B120" s="1510"/>
      <c r="C120" s="387" t="s">
        <v>340</v>
      </c>
    </row>
    <row r="121" spans="1:3" ht="15.75" hidden="1">
      <c r="A121" s="1513" t="s">
        <v>6</v>
      </c>
      <c r="B121" s="1514"/>
      <c r="C121" s="399">
        <v>1</v>
      </c>
    </row>
    <row r="122" spans="1:3" ht="24.75" customHeight="1" hidden="1">
      <c r="A122" s="397" t="s">
        <v>52</v>
      </c>
      <c r="B122" s="398" t="s">
        <v>347</v>
      </c>
      <c r="C122" s="400">
        <f>SUM(C123:C128)</f>
        <v>0</v>
      </c>
    </row>
    <row r="123" spans="1:3" ht="24.75" customHeight="1" hidden="1">
      <c r="A123" s="5" t="s">
        <v>54</v>
      </c>
      <c r="B123" s="34" t="s">
        <v>153</v>
      </c>
      <c r="C123" s="401"/>
    </row>
    <row r="124" spans="1:3" ht="24.75" customHeight="1" hidden="1">
      <c r="A124" s="5" t="s">
        <v>55</v>
      </c>
      <c r="B124" s="34" t="s">
        <v>154</v>
      </c>
      <c r="C124" s="401"/>
    </row>
    <row r="125" spans="1:3" ht="24.75" customHeight="1" hidden="1">
      <c r="A125" s="5" t="s">
        <v>141</v>
      </c>
      <c r="B125" s="34" t="s">
        <v>155</v>
      </c>
      <c r="C125" s="401"/>
    </row>
    <row r="126" spans="1:3" ht="24.75" customHeight="1" hidden="1">
      <c r="A126" s="5" t="s">
        <v>143</v>
      </c>
      <c r="B126" s="34" t="s">
        <v>156</v>
      </c>
      <c r="C126" s="401"/>
    </row>
    <row r="127" spans="1:3" ht="24.75" customHeight="1" hidden="1">
      <c r="A127" s="5" t="s">
        <v>145</v>
      </c>
      <c r="B127" s="34" t="s">
        <v>157</v>
      </c>
      <c r="C127" s="401"/>
    </row>
    <row r="128" spans="1:3" ht="24.75" customHeight="1" hidden="1">
      <c r="A128" s="5" t="s">
        <v>147</v>
      </c>
      <c r="B128" s="34" t="s">
        <v>158</v>
      </c>
      <c r="C128" s="401"/>
    </row>
    <row r="129" spans="1:3" ht="24.75" customHeight="1" hidden="1">
      <c r="A129" s="397" t="s">
        <v>53</v>
      </c>
      <c r="B129" s="398" t="s">
        <v>345</v>
      </c>
      <c r="C129" s="400">
        <f>SUM(C130:C131)</f>
        <v>0</v>
      </c>
    </row>
    <row r="130" spans="1:3" ht="24.75" customHeight="1" hidden="1">
      <c r="A130" s="5" t="s">
        <v>56</v>
      </c>
      <c r="B130" s="34" t="s">
        <v>159</v>
      </c>
      <c r="C130" s="401"/>
    </row>
    <row r="131" spans="1:3" ht="24.75" customHeight="1" hidden="1">
      <c r="A131" s="5" t="s">
        <v>57</v>
      </c>
      <c r="B131" s="34" t="s">
        <v>160</v>
      </c>
      <c r="C131" s="401"/>
    </row>
    <row r="132" spans="1:3" ht="24.75" customHeight="1" hidden="1">
      <c r="A132" s="397" t="s">
        <v>58</v>
      </c>
      <c r="B132" s="398" t="s">
        <v>150</v>
      </c>
      <c r="C132" s="400">
        <f>SUM(C133:C135)</f>
        <v>12</v>
      </c>
    </row>
    <row r="133" spans="1:3" ht="24.75" customHeight="1" hidden="1">
      <c r="A133" s="5" t="s">
        <v>161</v>
      </c>
      <c r="B133" s="37" t="s">
        <v>162</v>
      </c>
      <c r="C133" s="401">
        <v>12</v>
      </c>
    </row>
    <row r="134" spans="1:3" ht="24.75" customHeight="1" hidden="1">
      <c r="A134" s="5" t="s">
        <v>163</v>
      </c>
      <c r="B134" s="34" t="s">
        <v>164</v>
      </c>
      <c r="C134" s="401"/>
    </row>
    <row r="135" spans="1:3" ht="24.75" customHeight="1" hidden="1">
      <c r="A135" s="5" t="s">
        <v>165</v>
      </c>
      <c r="B135" s="34" t="s">
        <v>166</v>
      </c>
      <c r="C135" s="401"/>
    </row>
    <row r="136" spans="1:3" ht="24.75" customHeight="1" hidden="1">
      <c r="A136" s="397" t="s">
        <v>73</v>
      </c>
      <c r="B136" s="398" t="s">
        <v>346</v>
      </c>
      <c r="C136" s="400">
        <f>SUM(C137:C142)</f>
        <v>0</v>
      </c>
    </row>
    <row r="137" spans="1:3" ht="24.75" customHeight="1" hidden="1">
      <c r="A137" s="5" t="s">
        <v>167</v>
      </c>
      <c r="B137" s="34" t="s">
        <v>168</v>
      </c>
      <c r="C137" s="401"/>
    </row>
    <row r="138" spans="1:3" ht="24.75" customHeight="1" hidden="1">
      <c r="A138" s="5" t="s">
        <v>169</v>
      </c>
      <c r="B138" s="34" t="s">
        <v>170</v>
      </c>
      <c r="C138" s="401"/>
    </row>
    <row r="139" spans="1:3" ht="24.75" customHeight="1" hidden="1">
      <c r="A139" s="5" t="s">
        <v>171</v>
      </c>
      <c r="B139" s="34" t="s">
        <v>172</v>
      </c>
      <c r="C139" s="401"/>
    </row>
    <row r="140" spans="1:3" ht="24.75" customHeight="1" hidden="1">
      <c r="A140" s="5" t="s">
        <v>173</v>
      </c>
      <c r="B140" s="34" t="s">
        <v>156</v>
      </c>
      <c r="C140" s="401"/>
    </row>
    <row r="141" spans="1:3" ht="24.75" customHeight="1" hidden="1">
      <c r="A141" s="5" t="s">
        <v>174</v>
      </c>
      <c r="B141" s="34" t="s">
        <v>157</v>
      </c>
      <c r="C141" s="401"/>
    </row>
    <row r="142" spans="1:3" ht="24.75" customHeight="1" hidden="1">
      <c r="A142" s="5" t="s">
        <v>175</v>
      </c>
      <c r="B142" s="34" t="s">
        <v>176</v>
      </c>
      <c r="C142" s="401"/>
    </row>
    <row r="143" spans="1:3" ht="24.75" customHeight="1" hidden="1">
      <c r="A143" s="397" t="s">
        <v>74</v>
      </c>
      <c r="B143" s="398" t="s">
        <v>348</v>
      </c>
      <c r="C143" s="400">
        <f>SUM(C144:C146)</f>
        <v>19</v>
      </c>
    </row>
    <row r="144" spans="1:3" ht="24.75" customHeight="1" hidden="1">
      <c r="A144" s="5" t="s">
        <v>177</v>
      </c>
      <c r="B144" s="34" t="s">
        <v>168</v>
      </c>
      <c r="C144" s="401"/>
    </row>
    <row r="145" spans="1:3" ht="24.75" customHeight="1" hidden="1">
      <c r="A145" s="5" t="s">
        <v>178</v>
      </c>
      <c r="B145" s="34" t="s">
        <v>170</v>
      </c>
      <c r="C145" s="401"/>
    </row>
    <row r="146" spans="1:3" ht="24.75" customHeight="1" hidden="1">
      <c r="A146" s="5" t="s">
        <v>179</v>
      </c>
      <c r="B146" s="34" t="s">
        <v>180</v>
      </c>
      <c r="C146" s="401">
        <v>19</v>
      </c>
    </row>
    <row r="147" ht="15.75" hidden="1"/>
    <row r="148" ht="15.75" hidden="1"/>
    <row r="149" ht="15.75" hidden="1"/>
    <row r="150" ht="15.75" hidden="1"/>
    <row r="151" ht="15.75" hidden="1"/>
    <row r="152" ht="15.75" hidden="1"/>
    <row r="153" ht="15.75" hidden="1"/>
    <row r="154" ht="15.75" hidden="1"/>
    <row r="155" ht="15.75" hidden="1"/>
    <row r="156" ht="15.75" customHeight="1" hidden="1"/>
    <row r="157" ht="15.75" hidden="1"/>
    <row r="158" ht="15.75" hidden="1"/>
    <row r="159" spans="1:3" ht="16.5" customHeight="1" hidden="1">
      <c r="A159" s="1511" t="s">
        <v>182</v>
      </c>
      <c r="B159" s="1512"/>
      <c r="C159" s="1512"/>
    </row>
    <row r="160" spans="1:3" ht="18.75" hidden="1">
      <c r="A160" s="1509" t="s">
        <v>70</v>
      </c>
      <c r="B160" s="1510"/>
      <c r="C160" s="387" t="s">
        <v>340</v>
      </c>
    </row>
    <row r="161" spans="1:3" ht="15.75" hidden="1">
      <c r="A161" s="1513" t="s">
        <v>6</v>
      </c>
      <c r="B161" s="1514"/>
      <c r="C161" s="399">
        <v>1</v>
      </c>
    </row>
    <row r="162" spans="1:3" ht="24.75" customHeight="1" hidden="1">
      <c r="A162" s="397" t="s">
        <v>52</v>
      </c>
      <c r="B162" s="398" t="s">
        <v>347</v>
      </c>
      <c r="C162" s="400">
        <f>SUM(C163:C168)</f>
        <v>0</v>
      </c>
    </row>
    <row r="163" spans="1:3" ht="24.75" customHeight="1" hidden="1">
      <c r="A163" s="5" t="s">
        <v>54</v>
      </c>
      <c r="B163" s="34" t="s">
        <v>153</v>
      </c>
      <c r="C163" s="401"/>
    </row>
    <row r="164" spans="1:3" ht="24.75" customHeight="1" hidden="1">
      <c r="A164" s="5" t="s">
        <v>55</v>
      </c>
      <c r="B164" s="34" t="s">
        <v>154</v>
      </c>
      <c r="C164" s="401"/>
    </row>
    <row r="165" spans="1:3" ht="24.75" customHeight="1" hidden="1">
      <c r="A165" s="5" t="s">
        <v>141</v>
      </c>
      <c r="B165" s="34" t="s">
        <v>155</v>
      </c>
      <c r="C165" s="401"/>
    </row>
    <row r="166" spans="1:3" ht="24.75" customHeight="1" hidden="1">
      <c r="A166" s="5" t="s">
        <v>143</v>
      </c>
      <c r="B166" s="34" t="s">
        <v>156</v>
      </c>
      <c r="C166" s="401"/>
    </row>
    <row r="167" spans="1:3" ht="24.75" customHeight="1" hidden="1">
      <c r="A167" s="5" t="s">
        <v>145</v>
      </c>
      <c r="B167" s="34" t="s">
        <v>157</v>
      </c>
      <c r="C167" s="401"/>
    </row>
    <row r="168" spans="1:3" ht="24.75" customHeight="1" hidden="1">
      <c r="A168" s="5" t="s">
        <v>147</v>
      </c>
      <c r="B168" s="34" t="s">
        <v>158</v>
      </c>
      <c r="C168" s="401"/>
    </row>
    <row r="169" spans="1:3" ht="24.75" customHeight="1" hidden="1">
      <c r="A169" s="397" t="s">
        <v>53</v>
      </c>
      <c r="B169" s="398" t="s">
        <v>345</v>
      </c>
      <c r="C169" s="400">
        <f>SUM(C170:C171)</f>
        <v>0</v>
      </c>
    </row>
    <row r="170" spans="1:3" ht="24.75" customHeight="1" hidden="1">
      <c r="A170" s="5" t="s">
        <v>56</v>
      </c>
      <c r="B170" s="34" t="s">
        <v>159</v>
      </c>
      <c r="C170" s="401"/>
    </row>
    <row r="171" spans="1:3" ht="24.75" customHeight="1" hidden="1">
      <c r="A171" s="5" t="s">
        <v>57</v>
      </c>
      <c r="B171" s="34" t="s">
        <v>160</v>
      </c>
      <c r="C171" s="401"/>
    </row>
    <row r="172" spans="1:3" ht="24.75" customHeight="1" hidden="1">
      <c r="A172" s="397" t="s">
        <v>58</v>
      </c>
      <c r="B172" s="398" t="s">
        <v>150</v>
      </c>
      <c r="C172" s="400">
        <f>SUM(C173:C175)</f>
        <v>0</v>
      </c>
    </row>
    <row r="173" spans="1:3" ht="24.75" customHeight="1" hidden="1">
      <c r="A173" s="5" t="s">
        <v>161</v>
      </c>
      <c r="B173" s="37" t="s">
        <v>162</v>
      </c>
      <c r="C173" s="401"/>
    </row>
    <row r="174" spans="1:3" ht="24.75" customHeight="1" hidden="1">
      <c r="A174" s="5" t="s">
        <v>163</v>
      </c>
      <c r="B174" s="34" t="s">
        <v>164</v>
      </c>
      <c r="C174" s="401"/>
    </row>
    <row r="175" spans="1:3" ht="24.75" customHeight="1" hidden="1">
      <c r="A175" s="5" t="s">
        <v>165</v>
      </c>
      <c r="B175" s="34" t="s">
        <v>166</v>
      </c>
      <c r="C175" s="401"/>
    </row>
    <row r="176" spans="1:3" ht="24.75" customHeight="1" hidden="1">
      <c r="A176" s="397" t="s">
        <v>73</v>
      </c>
      <c r="B176" s="398" t="s">
        <v>346</v>
      </c>
      <c r="C176" s="400">
        <f>SUM(C177:C182)</f>
        <v>1</v>
      </c>
    </row>
    <row r="177" spans="1:3" ht="24.75" customHeight="1" hidden="1">
      <c r="A177" s="5" t="s">
        <v>167</v>
      </c>
      <c r="B177" s="34" t="s">
        <v>168</v>
      </c>
      <c r="C177" s="401">
        <v>1</v>
      </c>
    </row>
    <row r="178" spans="1:3" ht="24.75" customHeight="1" hidden="1">
      <c r="A178" s="5" t="s">
        <v>169</v>
      </c>
      <c r="B178" s="34" t="s">
        <v>170</v>
      </c>
      <c r="C178" s="401">
        <v>0</v>
      </c>
    </row>
    <row r="179" spans="1:3" ht="24.75" customHeight="1" hidden="1">
      <c r="A179" s="5" t="s">
        <v>171</v>
      </c>
      <c r="B179" s="34" t="s">
        <v>172</v>
      </c>
      <c r="C179" s="401">
        <v>0</v>
      </c>
    </row>
    <row r="180" spans="1:3" ht="24.75" customHeight="1" hidden="1">
      <c r="A180" s="5" t="s">
        <v>173</v>
      </c>
      <c r="B180" s="34" t="s">
        <v>156</v>
      </c>
      <c r="C180" s="401">
        <v>0</v>
      </c>
    </row>
    <row r="181" spans="1:3" ht="24.75" customHeight="1" hidden="1">
      <c r="A181" s="5" t="s">
        <v>174</v>
      </c>
      <c r="B181" s="34" t="s">
        <v>157</v>
      </c>
      <c r="C181" s="401">
        <v>0</v>
      </c>
    </row>
    <row r="182" spans="1:3" ht="24.75" customHeight="1" hidden="1">
      <c r="A182" s="5" t="s">
        <v>175</v>
      </c>
      <c r="B182" s="34" t="s">
        <v>176</v>
      </c>
      <c r="C182" s="401">
        <v>0</v>
      </c>
    </row>
    <row r="183" spans="1:3" ht="24.75" customHeight="1" hidden="1">
      <c r="A183" s="397" t="s">
        <v>74</v>
      </c>
      <c r="B183" s="398" t="s">
        <v>348</v>
      </c>
      <c r="C183" s="400">
        <f>SUM(C184:C186)</f>
        <v>74</v>
      </c>
    </row>
    <row r="184" spans="1:3" ht="24.75" customHeight="1" hidden="1">
      <c r="A184" s="5" t="s">
        <v>177</v>
      </c>
      <c r="B184" s="34" t="s">
        <v>168</v>
      </c>
      <c r="C184" s="401">
        <v>66</v>
      </c>
    </row>
    <row r="185" spans="1:3" ht="24.75" customHeight="1" hidden="1">
      <c r="A185" s="5" t="s">
        <v>178</v>
      </c>
      <c r="B185" s="34" t="s">
        <v>170</v>
      </c>
      <c r="C185" s="401">
        <v>0</v>
      </c>
    </row>
    <row r="186" spans="1:3" ht="24.75" customHeight="1" hidden="1">
      <c r="A186" s="5" t="s">
        <v>179</v>
      </c>
      <c r="B186" s="34" t="s">
        <v>180</v>
      </c>
      <c r="C186" s="401">
        <v>8</v>
      </c>
    </row>
    <row r="187" ht="15.75" hidden="1"/>
    <row r="188" ht="15.75" hidden="1"/>
    <row r="189" ht="15.75" hidden="1"/>
    <row r="190" ht="15.75" hidden="1"/>
    <row r="191" ht="15.75" hidden="1"/>
    <row r="192" ht="15.75" hidden="1"/>
    <row r="193" ht="15.75" hidden="1"/>
    <row r="194" ht="15.75" hidden="1"/>
    <row r="195" ht="15.75" customHeight="1" hidden="1"/>
    <row r="196" ht="15.75" hidden="1"/>
    <row r="197" ht="15.75" hidden="1"/>
    <row r="198" spans="1:3" ht="16.5" customHeight="1" hidden="1">
      <c r="A198" s="1511" t="s">
        <v>182</v>
      </c>
      <c r="B198" s="1512"/>
      <c r="C198" s="1512"/>
    </row>
    <row r="199" spans="1:3" ht="18.75" hidden="1">
      <c r="A199" s="1509" t="s">
        <v>70</v>
      </c>
      <c r="B199" s="1510"/>
      <c r="C199" s="387" t="s">
        <v>340</v>
      </c>
    </row>
    <row r="200" spans="1:3" ht="15.75" hidden="1">
      <c r="A200" s="1513" t="s">
        <v>6</v>
      </c>
      <c r="B200" s="1514"/>
      <c r="C200" s="399">
        <v>1</v>
      </c>
    </row>
    <row r="201" spans="1:3" ht="24.75" customHeight="1" hidden="1">
      <c r="A201" s="397" t="s">
        <v>52</v>
      </c>
      <c r="B201" s="398" t="s">
        <v>347</v>
      </c>
      <c r="C201" s="400">
        <f>SUM(C202:C207)</f>
        <v>0</v>
      </c>
    </row>
    <row r="202" spans="1:3" ht="24.75" customHeight="1" hidden="1">
      <c r="A202" s="5" t="s">
        <v>54</v>
      </c>
      <c r="B202" s="34" t="s">
        <v>153</v>
      </c>
      <c r="C202" s="401"/>
    </row>
    <row r="203" spans="1:3" ht="24.75" customHeight="1" hidden="1">
      <c r="A203" s="5" t="s">
        <v>55</v>
      </c>
      <c r="B203" s="34" t="s">
        <v>154</v>
      </c>
      <c r="C203" s="401"/>
    </row>
    <row r="204" spans="1:3" ht="24.75" customHeight="1" hidden="1">
      <c r="A204" s="5" t="s">
        <v>141</v>
      </c>
      <c r="B204" s="34" t="s">
        <v>155</v>
      </c>
      <c r="C204" s="401"/>
    </row>
    <row r="205" spans="1:3" ht="24.75" customHeight="1" hidden="1">
      <c r="A205" s="5" t="s">
        <v>143</v>
      </c>
      <c r="B205" s="34" t="s">
        <v>156</v>
      </c>
      <c r="C205" s="401"/>
    </row>
    <row r="206" spans="1:3" ht="24.75" customHeight="1" hidden="1">
      <c r="A206" s="5" t="s">
        <v>145</v>
      </c>
      <c r="B206" s="34" t="s">
        <v>157</v>
      </c>
      <c r="C206" s="401"/>
    </row>
    <row r="207" spans="1:3" ht="24.75" customHeight="1" hidden="1">
      <c r="A207" s="5" t="s">
        <v>147</v>
      </c>
      <c r="B207" s="34" t="s">
        <v>158</v>
      </c>
      <c r="C207" s="401"/>
    </row>
    <row r="208" spans="1:3" ht="24.75" customHeight="1" hidden="1">
      <c r="A208" s="397" t="s">
        <v>53</v>
      </c>
      <c r="B208" s="398" t="s">
        <v>345</v>
      </c>
      <c r="C208" s="400">
        <f>SUM(C209:C210)</f>
        <v>0</v>
      </c>
    </row>
    <row r="209" spans="1:3" ht="24.75" customHeight="1" hidden="1">
      <c r="A209" s="5" t="s">
        <v>56</v>
      </c>
      <c r="B209" s="34" t="s">
        <v>159</v>
      </c>
      <c r="C209" s="401"/>
    </row>
    <row r="210" spans="1:3" ht="24.75" customHeight="1" hidden="1">
      <c r="A210" s="5" t="s">
        <v>57</v>
      </c>
      <c r="B210" s="34" t="s">
        <v>160</v>
      </c>
      <c r="C210" s="401"/>
    </row>
    <row r="211" spans="1:3" ht="24.75" customHeight="1" hidden="1">
      <c r="A211" s="397" t="s">
        <v>58</v>
      </c>
      <c r="B211" s="398" t="s">
        <v>150</v>
      </c>
      <c r="C211" s="400">
        <f>SUM(C212:C214)</f>
        <v>0</v>
      </c>
    </row>
    <row r="212" spans="1:3" ht="24.75" customHeight="1" hidden="1">
      <c r="A212" s="5" t="s">
        <v>161</v>
      </c>
      <c r="B212" s="37" t="s">
        <v>162</v>
      </c>
      <c r="C212" s="401"/>
    </row>
    <row r="213" spans="1:3" ht="24.75" customHeight="1" hidden="1">
      <c r="A213" s="5" t="s">
        <v>163</v>
      </c>
      <c r="B213" s="34" t="s">
        <v>164</v>
      </c>
      <c r="C213" s="401"/>
    </row>
    <row r="214" spans="1:3" ht="24.75" customHeight="1" hidden="1">
      <c r="A214" s="5" t="s">
        <v>165</v>
      </c>
      <c r="B214" s="34" t="s">
        <v>166</v>
      </c>
      <c r="C214" s="401"/>
    </row>
    <row r="215" spans="1:3" ht="24.75" customHeight="1" hidden="1">
      <c r="A215" s="397" t="s">
        <v>73</v>
      </c>
      <c r="B215" s="398" t="s">
        <v>346</v>
      </c>
      <c r="C215" s="400">
        <f>SUM(C216:C221)</f>
        <v>0</v>
      </c>
    </row>
    <row r="216" spans="1:3" ht="24.75" customHeight="1" hidden="1">
      <c r="A216" s="5" t="s">
        <v>167</v>
      </c>
      <c r="B216" s="34" t="s">
        <v>168</v>
      </c>
      <c r="C216" s="401"/>
    </row>
    <row r="217" spans="1:3" ht="24.75" customHeight="1" hidden="1">
      <c r="A217" s="5" t="s">
        <v>169</v>
      </c>
      <c r="B217" s="34" t="s">
        <v>170</v>
      </c>
      <c r="C217" s="401"/>
    </row>
    <row r="218" spans="1:3" ht="24.75" customHeight="1" hidden="1">
      <c r="A218" s="5" t="s">
        <v>171</v>
      </c>
      <c r="B218" s="34" t="s">
        <v>172</v>
      </c>
      <c r="C218" s="401"/>
    </row>
    <row r="219" spans="1:3" ht="24.75" customHeight="1" hidden="1">
      <c r="A219" s="5" t="s">
        <v>173</v>
      </c>
      <c r="B219" s="34" t="s">
        <v>156</v>
      </c>
      <c r="C219" s="401"/>
    </row>
    <row r="220" spans="1:3" ht="24.75" customHeight="1" hidden="1">
      <c r="A220" s="5" t="s">
        <v>174</v>
      </c>
      <c r="B220" s="34" t="s">
        <v>157</v>
      </c>
      <c r="C220" s="401"/>
    </row>
    <row r="221" spans="1:3" ht="24.75" customHeight="1" hidden="1">
      <c r="A221" s="5" t="s">
        <v>175</v>
      </c>
      <c r="B221" s="34" t="s">
        <v>176</v>
      </c>
      <c r="C221" s="401"/>
    </row>
    <row r="222" spans="1:3" ht="24.75" customHeight="1" hidden="1">
      <c r="A222" s="397" t="s">
        <v>74</v>
      </c>
      <c r="B222" s="398" t="s">
        <v>348</v>
      </c>
      <c r="C222" s="400">
        <f>SUM(C223:C225)</f>
        <v>7</v>
      </c>
    </row>
    <row r="223" spans="1:3" ht="24.75" customHeight="1" hidden="1">
      <c r="A223" s="5" t="s">
        <v>177</v>
      </c>
      <c r="B223" s="34" t="s">
        <v>168</v>
      </c>
      <c r="C223" s="401">
        <v>7</v>
      </c>
    </row>
    <row r="224" spans="1:3" ht="24.75" customHeight="1" hidden="1">
      <c r="A224" s="5" t="s">
        <v>178</v>
      </c>
      <c r="B224" s="34" t="s">
        <v>170</v>
      </c>
      <c r="C224" s="401">
        <v>0</v>
      </c>
    </row>
    <row r="225" spans="1:3" ht="24.75" customHeight="1" hidden="1">
      <c r="A225" s="5" t="s">
        <v>179</v>
      </c>
      <c r="B225" s="34" t="s">
        <v>180</v>
      </c>
      <c r="C225" s="401">
        <v>0</v>
      </c>
    </row>
    <row r="226" ht="15.75" hidden="1"/>
    <row r="227" ht="15.75" hidden="1"/>
    <row r="228" ht="15.75" hidden="1"/>
    <row r="229" ht="15.75" hidden="1"/>
    <row r="230" ht="15.75" hidden="1"/>
    <row r="231" ht="15.75" hidden="1"/>
    <row r="232" ht="15.75" hidden="1"/>
    <row r="233" ht="15.75" customHeight="1" hidden="1"/>
    <row r="234" ht="15.75" hidden="1"/>
    <row r="235" ht="15.75" hidden="1"/>
    <row r="236" spans="1:3" ht="16.5" customHeight="1" hidden="1">
      <c r="A236" s="1511" t="s">
        <v>182</v>
      </c>
      <c r="B236" s="1512"/>
      <c r="C236" s="1512"/>
    </row>
    <row r="237" spans="1:3" ht="18.75" hidden="1">
      <c r="A237" s="1509" t="s">
        <v>70</v>
      </c>
      <c r="B237" s="1510"/>
      <c r="C237" s="387" t="s">
        <v>340</v>
      </c>
    </row>
    <row r="238" spans="1:3" ht="15.75" hidden="1">
      <c r="A238" s="1513" t="s">
        <v>6</v>
      </c>
      <c r="B238" s="1514"/>
      <c r="C238" s="399">
        <v>1</v>
      </c>
    </row>
    <row r="239" spans="1:3" ht="24.75" customHeight="1" hidden="1">
      <c r="A239" s="397" t="s">
        <v>52</v>
      </c>
      <c r="B239" s="398" t="s">
        <v>347</v>
      </c>
      <c r="C239" s="400">
        <f>SUM(C240:C245)</f>
        <v>0</v>
      </c>
    </row>
    <row r="240" spans="1:3" ht="24.75" customHeight="1" hidden="1">
      <c r="A240" s="5" t="s">
        <v>54</v>
      </c>
      <c r="B240" s="34" t="s">
        <v>153</v>
      </c>
      <c r="C240" s="401"/>
    </row>
    <row r="241" spans="1:3" ht="24.75" customHeight="1" hidden="1">
      <c r="A241" s="5" t="s">
        <v>55</v>
      </c>
      <c r="B241" s="34" t="s">
        <v>154</v>
      </c>
      <c r="C241" s="401"/>
    </row>
    <row r="242" spans="1:3" ht="24.75" customHeight="1" hidden="1">
      <c r="A242" s="5" t="s">
        <v>141</v>
      </c>
      <c r="B242" s="34" t="s">
        <v>155</v>
      </c>
      <c r="C242" s="401"/>
    </row>
    <row r="243" spans="1:3" ht="24.75" customHeight="1" hidden="1">
      <c r="A243" s="5" t="s">
        <v>143</v>
      </c>
      <c r="B243" s="34" t="s">
        <v>156</v>
      </c>
      <c r="C243" s="401"/>
    </row>
    <row r="244" spans="1:3" ht="24.75" customHeight="1" hidden="1">
      <c r="A244" s="5" t="s">
        <v>145</v>
      </c>
      <c r="B244" s="34" t="s">
        <v>157</v>
      </c>
      <c r="C244" s="401"/>
    </row>
    <row r="245" spans="1:3" ht="24.75" customHeight="1" hidden="1">
      <c r="A245" s="5" t="s">
        <v>147</v>
      </c>
      <c r="B245" s="34" t="s">
        <v>158</v>
      </c>
      <c r="C245" s="401"/>
    </row>
    <row r="246" spans="1:3" ht="24.75" customHeight="1" hidden="1">
      <c r="A246" s="397" t="s">
        <v>53</v>
      </c>
      <c r="B246" s="398" t="s">
        <v>345</v>
      </c>
      <c r="C246" s="400">
        <f>SUM(C247:C248)</f>
        <v>0</v>
      </c>
    </row>
    <row r="247" spans="1:3" ht="24.75" customHeight="1" hidden="1">
      <c r="A247" s="5" t="s">
        <v>56</v>
      </c>
      <c r="B247" s="34" t="s">
        <v>159</v>
      </c>
      <c r="C247" s="401"/>
    </row>
    <row r="248" spans="1:3" ht="24.75" customHeight="1" hidden="1">
      <c r="A248" s="5" t="s">
        <v>57</v>
      </c>
      <c r="B248" s="34" t="s">
        <v>160</v>
      </c>
      <c r="C248" s="401"/>
    </row>
    <row r="249" spans="1:3" ht="24.75" customHeight="1" hidden="1">
      <c r="A249" s="397" t="s">
        <v>58</v>
      </c>
      <c r="B249" s="398" t="s">
        <v>150</v>
      </c>
      <c r="C249" s="400">
        <f>SUM(C250:C252)</f>
        <v>0</v>
      </c>
    </row>
    <row r="250" spans="1:3" ht="24.75" customHeight="1" hidden="1">
      <c r="A250" s="5" t="s">
        <v>161</v>
      </c>
      <c r="B250" s="37" t="s">
        <v>162</v>
      </c>
      <c r="C250" s="401"/>
    </row>
    <row r="251" spans="1:3" ht="24.75" customHeight="1" hidden="1">
      <c r="A251" s="5" t="s">
        <v>163</v>
      </c>
      <c r="B251" s="34" t="s">
        <v>164</v>
      </c>
      <c r="C251" s="401"/>
    </row>
    <row r="252" spans="1:3" ht="24.75" customHeight="1" hidden="1">
      <c r="A252" s="5" t="s">
        <v>165</v>
      </c>
      <c r="B252" s="34" t="s">
        <v>166</v>
      </c>
      <c r="C252" s="401"/>
    </row>
    <row r="253" spans="1:3" ht="24.75" customHeight="1" hidden="1">
      <c r="A253" s="397" t="s">
        <v>73</v>
      </c>
      <c r="B253" s="398" t="s">
        <v>346</v>
      </c>
      <c r="C253" s="400">
        <f>SUM(C254:C259)</f>
        <v>0</v>
      </c>
    </row>
    <row r="254" spans="1:3" ht="24.75" customHeight="1" hidden="1">
      <c r="A254" s="5" t="s">
        <v>167</v>
      </c>
      <c r="B254" s="34" t="s">
        <v>168</v>
      </c>
      <c r="C254" s="401"/>
    </row>
    <row r="255" spans="1:3" ht="24.75" customHeight="1" hidden="1">
      <c r="A255" s="5" t="s">
        <v>169</v>
      </c>
      <c r="B255" s="34" t="s">
        <v>170</v>
      </c>
      <c r="C255" s="401"/>
    </row>
    <row r="256" spans="1:3" ht="24.75" customHeight="1" hidden="1">
      <c r="A256" s="5" t="s">
        <v>171</v>
      </c>
      <c r="B256" s="34" t="s">
        <v>172</v>
      </c>
      <c r="C256" s="401"/>
    </row>
    <row r="257" spans="1:3" ht="24.75" customHeight="1" hidden="1">
      <c r="A257" s="5" t="s">
        <v>173</v>
      </c>
      <c r="B257" s="34" t="s">
        <v>156</v>
      </c>
      <c r="C257" s="401"/>
    </row>
    <row r="258" spans="1:3" ht="24.75" customHeight="1" hidden="1">
      <c r="A258" s="5" t="s">
        <v>174</v>
      </c>
      <c r="B258" s="34" t="s">
        <v>157</v>
      </c>
      <c r="C258" s="401"/>
    </row>
    <row r="259" spans="1:3" ht="24.75" customHeight="1" hidden="1">
      <c r="A259" s="5" t="s">
        <v>175</v>
      </c>
      <c r="B259" s="34" t="s">
        <v>176</v>
      </c>
      <c r="C259" s="401"/>
    </row>
    <row r="260" spans="1:3" ht="24.75" customHeight="1" hidden="1">
      <c r="A260" s="397" t="s">
        <v>74</v>
      </c>
      <c r="B260" s="398" t="s">
        <v>348</v>
      </c>
      <c r="C260" s="400">
        <f>SUM(C261:C263)</f>
        <v>45</v>
      </c>
    </row>
    <row r="261" spans="1:3" ht="24.75" customHeight="1" hidden="1">
      <c r="A261" s="5" t="s">
        <v>177</v>
      </c>
      <c r="B261" s="34" t="s">
        <v>168</v>
      </c>
      <c r="C261" s="401">
        <v>45</v>
      </c>
    </row>
    <row r="262" spans="1:3" ht="24.75" customHeight="1" hidden="1">
      <c r="A262" s="5" t="s">
        <v>178</v>
      </c>
      <c r="B262" s="34" t="s">
        <v>170</v>
      </c>
      <c r="C262" s="401">
        <v>0</v>
      </c>
    </row>
    <row r="263" spans="1:3" ht="24.75" customHeight="1" hidden="1">
      <c r="A263" s="5" t="s">
        <v>179</v>
      </c>
      <c r="B263" s="34" t="s">
        <v>180</v>
      </c>
      <c r="C263" s="401">
        <v>0</v>
      </c>
    </row>
    <row r="264" ht="15.75" hidden="1"/>
    <row r="265" ht="15.75" hidden="1"/>
    <row r="266" ht="15.75" hidden="1"/>
    <row r="267" ht="15.75" hidden="1"/>
    <row r="268" ht="15.75" hidden="1"/>
    <row r="269" ht="15.75" hidden="1"/>
    <row r="270" ht="15.75" hidden="1"/>
    <row r="271" ht="15.75" hidden="1"/>
    <row r="272" ht="15.75" hidden="1"/>
    <row r="273" ht="15.75" customHeight="1" hidden="1"/>
    <row r="274" ht="15.75" hidden="1"/>
    <row r="275" ht="15.75" hidden="1"/>
    <row r="276" spans="1:3" ht="16.5" customHeight="1" hidden="1">
      <c r="A276" s="1511" t="s">
        <v>182</v>
      </c>
      <c r="B276" s="1512"/>
      <c r="C276" s="1512"/>
    </row>
    <row r="277" spans="1:3" ht="18.75" hidden="1">
      <c r="A277" s="1509" t="s">
        <v>70</v>
      </c>
      <c r="B277" s="1510"/>
      <c r="C277" s="387" t="s">
        <v>340</v>
      </c>
    </row>
    <row r="278" spans="1:3" ht="15.75" hidden="1">
      <c r="A278" s="1513" t="s">
        <v>6</v>
      </c>
      <c r="B278" s="1514"/>
      <c r="C278" s="399">
        <v>1</v>
      </c>
    </row>
    <row r="279" spans="1:3" ht="24.75" customHeight="1" hidden="1">
      <c r="A279" s="397" t="s">
        <v>52</v>
      </c>
      <c r="B279" s="398" t="s">
        <v>347</v>
      </c>
      <c r="C279" s="400">
        <f>SUM(C280:C285)</f>
        <v>0</v>
      </c>
    </row>
    <row r="280" spans="1:3" ht="24.75" customHeight="1" hidden="1">
      <c r="A280" s="5" t="s">
        <v>54</v>
      </c>
      <c r="B280" s="34" t="s">
        <v>153</v>
      </c>
      <c r="C280" s="401"/>
    </row>
    <row r="281" spans="1:3" ht="24.75" customHeight="1" hidden="1">
      <c r="A281" s="5" t="s">
        <v>55</v>
      </c>
      <c r="B281" s="34" t="s">
        <v>154</v>
      </c>
      <c r="C281" s="401"/>
    </row>
    <row r="282" spans="1:3" ht="24.75" customHeight="1" hidden="1">
      <c r="A282" s="5" t="s">
        <v>141</v>
      </c>
      <c r="B282" s="34" t="s">
        <v>155</v>
      </c>
      <c r="C282" s="401"/>
    </row>
    <row r="283" spans="1:3" ht="24.75" customHeight="1" hidden="1">
      <c r="A283" s="5" t="s">
        <v>143</v>
      </c>
      <c r="B283" s="34" t="s">
        <v>156</v>
      </c>
      <c r="C283" s="401"/>
    </row>
    <row r="284" spans="1:3" ht="24.75" customHeight="1" hidden="1">
      <c r="A284" s="5" t="s">
        <v>145</v>
      </c>
      <c r="B284" s="34" t="s">
        <v>157</v>
      </c>
      <c r="C284" s="401"/>
    </row>
    <row r="285" spans="1:3" ht="24.75" customHeight="1" hidden="1">
      <c r="A285" s="5" t="s">
        <v>147</v>
      </c>
      <c r="B285" s="34" t="s">
        <v>158</v>
      </c>
      <c r="C285" s="401"/>
    </row>
    <row r="286" spans="1:3" ht="24.75" customHeight="1" hidden="1">
      <c r="A286" s="397" t="s">
        <v>53</v>
      </c>
      <c r="B286" s="398" t="s">
        <v>345</v>
      </c>
      <c r="C286" s="400">
        <f>SUM(C287:C288)</f>
        <v>0</v>
      </c>
    </row>
    <row r="287" spans="1:3" ht="24.75" customHeight="1" hidden="1">
      <c r="A287" s="5" t="s">
        <v>56</v>
      </c>
      <c r="B287" s="34" t="s">
        <v>159</v>
      </c>
      <c r="C287" s="401"/>
    </row>
    <row r="288" spans="1:3" ht="24.75" customHeight="1" hidden="1">
      <c r="A288" s="5" t="s">
        <v>57</v>
      </c>
      <c r="B288" s="34" t="s">
        <v>160</v>
      </c>
      <c r="C288" s="401"/>
    </row>
    <row r="289" spans="1:3" ht="24.75" customHeight="1" hidden="1">
      <c r="A289" s="397" t="s">
        <v>58</v>
      </c>
      <c r="B289" s="398" t="s">
        <v>150</v>
      </c>
      <c r="C289" s="400">
        <f>SUM(C290:C292)</f>
        <v>0</v>
      </c>
    </row>
    <row r="290" spans="1:3" ht="24.75" customHeight="1" hidden="1">
      <c r="A290" s="5" t="s">
        <v>161</v>
      </c>
      <c r="B290" s="37" t="s">
        <v>162</v>
      </c>
      <c r="C290" s="401"/>
    </row>
    <row r="291" spans="1:3" ht="24.75" customHeight="1" hidden="1">
      <c r="A291" s="5" t="s">
        <v>163</v>
      </c>
      <c r="B291" s="34" t="s">
        <v>164</v>
      </c>
      <c r="C291" s="401"/>
    </row>
    <row r="292" spans="1:3" ht="24.75" customHeight="1" hidden="1">
      <c r="A292" s="5" t="s">
        <v>165</v>
      </c>
      <c r="B292" s="34" t="s">
        <v>166</v>
      </c>
      <c r="C292" s="401"/>
    </row>
    <row r="293" spans="1:3" ht="24.75" customHeight="1" hidden="1">
      <c r="A293" s="397" t="s">
        <v>73</v>
      </c>
      <c r="B293" s="398" t="s">
        <v>346</v>
      </c>
      <c r="C293" s="400">
        <f>SUM(C294:C299)</f>
        <v>0</v>
      </c>
    </row>
    <row r="294" spans="1:3" ht="24.75" customHeight="1" hidden="1">
      <c r="A294" s="5" t="s">
        <v>167</v>
      </c>
      <c r="B294" s="34" t="s">
        <v>168</v>
      </c>
      <c r="C294" s="401"/>
    </row>
    <row r="295" spans="1:3" ht="24.75" customHeight="1" hidden="1">
      <c r="A295" s="5" t="s">
        <v>169</v>
      </c>
      <c r="B295" s="34" t="s">
        <v>170</v>
      </c>
      <c r="C295" s="401"/>
    </row>
    <row r="296" spans="1:3" ht="24.75" customHeight="1" hidden="1">
      <c r="A296" s="5" t="s">
        <v>171</v>
      </c>
      <c r="B296" s="34" t="s">
        <v>172</v>
      </c>
      <c r="C296" s="401"/>
    </row>
    <row r="297" spans="1:3" ht="24.75" customHeight="1" hidden="1">
      <c r="A297" s="5" t="s">
        <v>173</v>
      </c>
      <c r="B297" s="34" t="s">
        <v>156</v>
      </c>
      <c r="C297" s="401"/>
    </row>
    <row r="298" spans="1:3" ht="24.75" customHeight="1" hidden="1">
      <c r="A298" s="5" t="s">
        <v>174</v>
      </c>
      <c r="B298" s="34" t="s">
        <v>157</v>
      </c>
      <c r="C298" s="401"/>
    </row>
    <row r="299" spans="1:3" ht="24.75" customHeight="1" hidden="1">
      <c r="A299" s="5" t="s">
        <v>175</v>
      </c>
      <c r="B299" s="34" t="s">
        <v>176</v>
      </c>
      <c r="C299" s="401"/>
    </row>
    <row r="300" spans="1:3" ht="24.75" customHeight="1" hidden="1">
      <c r="A300" s="397" t="s">
        <v>74</v>
      </c>
      <c r="B300" s="398" t="s">
        <v>348</v>
      </c>
      <c r="C300" s="400">
        <f>SUM(C301:C303)</f>
        <v>11</v>
      </c>
    </row>
    <row r="301" spans="1:3" ht="24.75" customHeight="1" hidden="1">
      <c r="A301" s="5" t="s">
        <v>177</v>
      </c>
      <c r="B301" s="34" t="s">
        <v>168</v>
      </c>
      <c r="C301" s="401">
        <v>9</v>
      </c>
    </row>
    <row r="302" spans="1:3" ht="24.75" customHeight="1" hidden="1">
      <c r="A302" s="5" t="s">
        <v>178</v>
      </c>
      <c r="B302" s="34" t="s">
        <v>170</v>
      </c>
      <c r="C302" s="401">
        <v>0</v>
      </c>
    </row>
    <row r="303" spans="1:3" ht="24.75" customHeight="1" hidden="1">
      <c r="A303" s="5" t="s">
        <v>179</v>
      </c>
      <c r="B303" s="34" t="s">
        <v>180</v>
      </c>
      <c r="C303" s="401">
        <v>2</v>
      </c>
    </row>
    <row r="304" ht="15.75" hidden="1"/>
    <row r="305" ht="15.75" hidden="1"/>
    <row r="306" ht="15.75" hidden="1"/>
    <row r="307" ht="15.75" hidden="1"/>
    <row r="308" ht="15.75" hidden="1"/>
    <row r="309" ht="15.75" hidden="1"/>
    <row r="310" ht="15.75" hidden="1"/>
    <row r="311" ht="15.75" customHeight="1" hidden="1"/>
    <row r="312" ht="15.75" hidden="1"/>
    <row r="313" ht="15.75" hidden="1"/>
    <row r="314" spans="1:3" ht="16.5" customHeight="1" hidden="1">
      <c r="A314" s="1511" t="s">
        <v>182</v>
      </c>
      <c r="B314" s="1512"/>
      <c r="C314" s="1512"/>
    </row>
    <row r="315" spans="1:3" ht="18.75" hidden="1">
      <c r="A315" s="1509" t="s">
        <v>70</v>
      </c>
      <c r="B315" s="1510"/>
      <c r="C315" s="387" t="s">
        <v>340</v>
      </c>
    </row>
    <row r="316" spans="1:3" ht="15.75" hidden="1">
      <c r="A316" s="1513" t="s">
        <v>6</v>
      </c>
      <c r="B316" s="1514"/>
      <c r="C316" s="399">
        <v>1</v>
      </c>
    </row>
    <row r="317" spans="1:3" ht="24.75" customHeight="1" hidden="1">
      <c r="A317" s="397" t="s">
        <v>52</v>
      </c>
      <c r="B317" s="398" t="s">
        <v>347</v>
      </c>
      <c r="C317" s="400">
        <f>SUM(C318:C323)</f>
        <v>0</v>
      </c>
    </row>
    <row r="318" spans="1:3" ht="24.75" customHeight="1" hidden="1">
      <c r="A318" s="5" t="s">
        <v>54</v>
      </c>
      <c r="B318" s="34" t="s">
        <v>153</v>
      </c>
      <c r="C318" s="401"/>
    </row>
    <row r="319" spans="1:3" ht="24.75" customHeight="1" hidden="1">
      <c r="A319" s="5" t="s">
        <v>55</v>
      </c>
      <c r="B319" s="34" t="s">
        <v>154</v>
      </c>
      <c r="C319" s="401"/>
    </row>
    <row r="320" spans="1:3" ht="24.75" customHeight="1" hidden="1">
      <c r="A320" s="5" t="s">
        <v>141</v>
      </c>
      <c r="B320" s="34" t="s">
        <v>155</v>
      </c>
      <c r="C320" s="401"/>
    </row>
    <row r="321" spans="1:3" ht="24.75" customHeight="1" hidden="1">
      <c r="A321" s="5" t="s">
        <v>143</v>
      </c>
      <c r="B321" s="34" t="s">
        <v>156</v>
      </c>
      <c r="C321" s="401"/>
    </row>
    <row r="322" spans="1:3" ht="24.75" customHeight="1" hidden="1">
      <c r="A322" s="5" t="s">
        <v>145</v>
      </c>
      <c r="B322" s="34" t="s">
        <v>157</v>
      </c>
      <c r="C322" s="401"/>
    </row>
    <row r="323" spans="1:3" ht="24.75" customHeight="1" hidden="1">
      <c r="A323" s="5" t="s">
        <v>147</v>
      </c>
      <c r="B323" s="34" t="s">
        <v>158</v>
      </c>
      <c r="C323" s="401"/>
    </row>
    <row r="324" spans="1:3" ht="24.75" customHeight="1" hidden="1">
      <c r="A324" s="397" t="s">
        <v>53</v>
      </c>
      <c r="B324" s="398" t="s">
        <v>345</v>
      </c>
      <c r="C324" s="400">
        <f>SUM(C325:C326)</f>
        <v>0</v>
      </c>
    </row>
    <row r="325" spans="1:3" ht="24.75" customHeight="1" hidden="1">
      <c r="A325" s="5" t="s">
        <v>56</v>
      </c>
      <c r="B325" s="34" t="s">
        <v>159</v>
      </c>
      <c r="C325" s="401"/>
    </row>
    <row r="326" spans="1:3" ht="24.75" customHeight="1" hidden="1">
      <c r="A326" s="5" t="s">
        <v>57</v>
      </c>
      <c r="B326" s="34" t="s">
        <v>160</v>
      </c>
      <c r="C326" s="401"/>
    </row>
    <row r="327" spans="1:3" ht="24.75" customHeight="1" hidden="1">
      <c r="A327" s="397" t="s">
        <v>58</v>
      </c>
      <c r="B327" s="398" t="s">
        <v>150</v>
      </c>
      <c r="C327" s="400">
        <f>SUM(C328:C330)</f>
        <v>0</v>
      </c>
    </row>
    <row r="328" spans="1:3" ht="24.75" customHeight="1" hidden="1">
      <c r="A328" s="5" t="s">
        <v>161</v>
      </c>
      <c r="B328" s="37" t="s">
        <v>162</v>
      </c>
      <c r="C328" s="401"/>
    </row>
    <row r="329" spans="1:3" ht="24.75" customHeight="1" hidden="1">
      <c r="A329" s="5" t="s">
        <v>163</v>
      </c>
      <c r="B329" s="34" t="s">
        <v>164</v>
      </c>
      <c r="C329" s="401"/>
    </row>
    <row r="330" spans="1:3" ht="24.75" customHeight="1" hidden="1">
      <c r="A330" s="5" t="s">
        <v>165</v>
      </c>
      <c r="B330" s="34" t="s">
        <v>166</v>
      </c>
      <c r="C330" s="401"/>
    </row>
    <row r="331" spans="1:3" ht="24.75" customHeight="1" hidden="1">
      <c r="A331" s="397" t="s">
        <v>73</v>
      </c>
      <c r="B331" s="398" t="s">
        <v>346</v>
      </c>
      <c r="C331" s="400">
        <f>SUM(C332:C337)</f>
        <v>0</v>
      </c>
    </row>
    <row r="332" spans="1:3" ht="24.75" customHeight="1" hidden="1">
      <c r="A332" s="5" t="s">
        <v>167</v>
      </c>
      <c r="B332" s="34" t="s">
        <v>168</v>
      </c>
      <c r="C332" s="401"/>
    </row>
    <row r="333" spans="1:3" ht="24.75" customHeight="1" hidden="1">
      <c r="A333" s="5" t="s">
        <v>169</v>
      </c>
      <c r="B333" s="34" t="s">
        <v>170</v>
      </c>
      <c r="C333" s="401"/>
    </row>
    <row r="334" spans="1:3" ht="24.75" customHeight="1" hidden="1">
      <c r="A334" s="5" t="s">
        <v>171</v>
      </c>
      <c r="B334" s="34" t="s">
        <v>172</v>
      </c>
      <c r="C334" s="401"/>
    </row>
    <row r="335" spans="1:3" ht="24.75" customHeight="1" hidden="1">
      <c r="A335" s="5" t="s">
        <v>173</v>
      </c>
      <c r="B335" s="34" t="s">
        <v>156</v>
      </c>
      <c r="C335" s="401"/>
    </row>
    <row r="336" spans="1:3" ht="24.75" customHeight="1" hidden="1">
      <c r="A336" s="5" t="s">
        <v>174</v>
      </c>
      <c r="B336" s="34" t="s">
        <v>157</v>
      </c>
      <c r="C336" s="401"/>
    </row>
    <row r="337" spans="1:3" ht="24.75" customHeight="1" hidden="1">
      <c r="A337" s="5" t="s">
        <v>175</v>
      </c>
      <c r="B337" s="34" t="s">
        <v>176</v>
      </c>
      <c r="C337" s="401"/>
    </row>
    <row r="338" spans="1:3" ht="24.75" customHeight="1" hidden="1">
      <c r="A338" s="397" t="s">
        <v>74</v>
      </c>
      <c r="B338" s="398" t="s">
        <v>348</v>
      </c>
      <c r="C338" s="400">
        <f>SUM(C339:C341)</f>
        <v>16</v>
      </c>
    </row>
    <row r="339" spans="1:3" ht="24.75" customHeight="1" hidden="1">
      <c r="A339" s="5" t="s">
        <v>177</v>
      </c>
      <c r="B339" s="34" t="s">
        <v>168</v>
      </c>
      <c r="C339" s="401">
        <v>16</v>
      </c>
    </row>
    <row r="340" spans="1:3" ht="24.75" customHeight="1" hidden="1">
      <c r="A340" s="5" t="s">
        <v>178</v>
      </c>
      <c r="B340" s="34" t="s">
        <v>170</v>
      </c>
      <c r="C340" s="401"/>
    </row>
    <row r="341" spans="1:3" ht="24.75" customHeight="1" hidden="1">
      <c r="A341" s="5" t="s">
        <v>179</v>
      </c>
      <c r="B341" s="34" t="s">
        <v>180</v>
      </c>
      <c r="C341" s="401"/>
    </row>
    <row r="342" ht="15.75" hidden="1"/>
    <row r="343" ht="15.75" hidden="1"/>
    <row r="344" ht="15.75" hidden="1"/>
    <row r="345" ht="15.75" hidden="1"/>
    <row r="346" ht="15.75" hidden="1"/>
    <row r="347" ht="15.75" hidden="1"/>
    <row r="348" ht="15.75" customHeight="1" hidden="1"/>
    <row r="349" ht="15.75" hidden="1"/>
    <row r="350" ht="15.75" hidden="1"/>
    <row r="351" spans="1:3" ht="16.5" customHeight="1" hidden="1">
      <c r="A351" s="1511" t="s">
        <v>182</v>
      </c>
      <c r="B351" s="1512"/>
      <c r="C351" s="1512"/>
    </row>
    <row r="352" spans="1:3" ht="18.75" hidden="1">
      <c r="A352" s="1509" t="s">
        <v>70</v>
      </c>
      <c r="B352" s="1510"/>
      <c r="C352" s="387" t="s">
        <v>340</v>
      </c>
    </row>
    <row r="353" spans="1:3" ht="15.75" hidden="1">
      <c r="A353" s="1513" t="s">
        <v>6</v>
      </c>
      <c r="B353" s="1514"/>
      <c r="C353" s="399">
        <v>1</v>
      </c>
    </row>
    <row r="354" spans="1:3" ht="24.75" customHeight="1" hidden="1">
      <c r="A354" s="397" t="s">
        <v>52</v>
      </c>
      <c r="B354" s="398" t="s">
        <v>347</v>
      </c>
      <c r="C354" s="400">
        <f>SUM(C355:C360)</f>
        <v>2</v>
      </c>
    </row>
    <row r="355" spans="1:3" ht="24.75" customHeight="1" hidden="1">
      <c r="A355" s="5" t="s">
        <v>54</v>
      </c>
      <c r="B355" s="34" t="s">
        <v>153</v>
      </c>
      <c r="C355" s="401">
        <v>2</v>
      </c>
    </row>
    <row r="356" spans="1:3" ht="24.75" customHeight="1" hidden="1">
      <c r="A356" s="5" t="s">
        <v>55</v>
      </c>
      <c r="B356" s="34" t="s">
        <v>154</v>
      </c>
      <c r="C356" s="401">
        <v>0</v>
      </c>
    </row>
    <row r="357" spans="1:3" ht="24.75" customHeight="1" hidden="1">
      <c r="A357" s="5" t="s">
        <v>141</v>
      </c>
      <c r="B357" s="34" t="s">
        <v>155</v>
      </c>
      <c r="C357" s="401">
        <v>0</v>
      </c>
    </row>
    <row r="358" spans="1:3" ht="24.75" customHeight="1" hidden="1">
      <c r="A358" s="5" t="s">
        <v>143</v>
      </c>
      <c r="B358" s="34" t="s">
        <v>156</v>
      </c>
      <c r="C358" s="401">
        <v>0</v>
      </c>
    </row>
    <row r="359" spans="1:3" ht="24.75" customHeight="1" hidden="1">
      <c r="A359" s="5" t="s">
        <v>145</v>
      </c>
      <c r="B359" s="34" t="s">
        <v>157</v>
      </c>
      <c r="C359" s="401">
        <v>0</v>
      </c>
    </row>
    <row r="360" spans="1:3" ht="24.75" customHeight="1" hidden="1">
      <c r="A360" s="5" t="s">
        <v>147</v>
      </c>
      <c r="B360" s="34" t="s">
        <v>158</v>
      </c>
      <c r="C360" s="401">
        <v>0</v>
      </c>
    </row>
    <row r="361" spans="1:3" ht="24.75" customHeight="1" hidden="1">
      <c r="A361" s="397" t="s">
        <v>53</v>
      </c>
      <c r="B361" s="398" t="s">
        <v>345</v>
      </c>
      <c r="C361" s="400">
        <f>SUM(C362:C363)</f>
        <v>0</v>
      </c>
    </row>
    <row r="362" spans="1:3" ht="24.75" customHeight="1" hidden="1">
      <c r="A362" s="5" t="s">
        <v>56</v>
      </c>
      <c r="B362" s="34" t="s">
        <v>159</v>
      </c>
      <c r="C362" s="401"/>
    </row>
    <row r="363" spans="1:3" ht="24.75" customHeight="1" hidden="1">
      <c r="A363" s="5" t="s">
        <v>57</v>
      </c>
      <c r="B363" s="34" t="s">
        <v>160</v>
      </c>
      <c r="C363" s="401"/>
    </row>
    <row r="364" spans="1:3" ht="24.75" customHeight="1" hidden="1">
      <c r="A364" s="397" t="s">
        <v>58</v>
      </c>
      <c r="B364" s="398" t="s">
        <v>150</v>
      </c>
      <c r="C364" s="400">
        <f>SUM(C365:C367)</f>
        <v>10</v>
      </c>
    </row>
    <row r="365" spans="1:3" ht="24.75" customHeight="1" hidden="1">
      <c r="A365" s="5" t="s">
        <v>161</v>
      </c>
      <c r="B365" s="37" t="s">
        <v>162</v>
      </c>
      <c r="C365" s="401">
        <v>0</v>
      </c>
    </row>
    <row r="366" spans="1:3" ht="24.75" customHeight="1" hidden="1">
      <c r="A366" s="5" t="s">
        <v>163</v>
      </c>
      <c r="B366" s="34" t="s">
        <v>164</v>
      </c>
      <c r="C366" s="401">
        <v>10</v>
      </c>
    </row>
    <row r="367" spans="1:3" ht="24.75" customHeight="1" hidden="1">
      <c r="A367" s="5" t="s">
        <v>165</v>
      </c>
      <c r="B367" s="34" t="s">
        <v>166</v>
      </c>
      <c r="C367" s="401">
        <v>0</v>
      </c>
    </row>
    <row r="368" spans="1:3" ht="24.75" customHeight="1" hidden="1">
      <c r="A368" s="397" t="s">
        <v>73</v>
      </c>
      <c r="B368" s="398" t="s">
        <v>346</v>
      </c>
      <c r="C368" s="400">
        <f>SUM(C369:C374)</f>
        <v>0</v>
      </c>
    </row>
    <row r="369" spans="1:3" ht="24.75" customHeight="1" hidden="1">
      <c r="A369" s="5" t="s">
        <v>167</v>
      </c>
      <c r="B369" s="34" t="s">
        <v>168</v>
      </c>
      <c r="C369" s="401"/>
    </row>
    <row r="370" spans="1:3" ht="24.75" customHeight="1" hidden="1">
      <c r="A370" s="5" t="s">
        <v>169</v>
      </c>
      <c r="B370" s="34" t="s">
        <v>170</v>
      </c>
      <c r="C370" s="401"/>
    </row>
    <row r="371" spans="1:3" ht="24.75" customHeight="1" hidden="1">
      <c r="A371" s="5" t="s">
        <v>171</v>
      </c>
      <c r="B371" s="34" t="s">
        <v>172</v>
      </c>
      <c r="C371" s="401"/>
    </row>
    <row r="372" spans="1:3" ht="24.75" customHeight="1" hidden="1">
      <c r="A372" s="5" t="s">
        <v>173</v>
      </c>
      <c r="B372" s="34" t="s">
        <v>156</v>
      </c>
      <c r="C372" s="401"/>
    </row>
    <row r="373" spans="1:3" ht="24.75" customHeight="1" hidden="1">
      <c r="A373" s="5" t="s">
        <v>174</v>
      </c>
      <c r="B373" s="34" t="s">
        <v>157</v>
      </c>
      <c r="C373" s="401"/>
    </row>
    <row r="374" spans="1:3" ht="24.75" customHeight="1" hidden="1">
      <c r="A374" s="5" t="s">
        <v>175</v>
      </c>
      <c r="B374" s="34" t="s">
        <v>176</v>
      </c>
      <c r="C374" s="401"/>
    </row>
    <row r="375" spans="1:3" ht="24.75" customHeight="1" hidden="1">
      <c r="A375" s="397" t="s">
        <v>74</v>
      </c>
      <c r="B375" s="398" t="s">
        <v>348</v>
      </c>
      <c r="C375" s="400">
        <f>SUM(C376:C378)</f>
        <v>30</v>
      </c>
    </row>
    <row r="376" spans="1:3" ht="24.75" customHeight="1" hidden="1">
      <c r="A376" s="5" t="s">
        <v>177</v>
      </c>
      <c r="B376" s="34" t="s">
        <v>168</v>
      </c>
      <c r="C376" s="401">
        <v>30</v>
      </c>
    </row>
    <row r="377" spans="1:3" ht="24.75" customHeight="1" hidden="1">
      <c r="A377" s="5" t="s">
        <v>178</v>
      </c>
      <c r="B377" s="34" t="s">
        <v>170</v>
      </c>
      <c r="C377" s="401">
        <v>0</v>
      </c>
    </row>
    <row r="378" spans="1:3" ht="24.75" customHeight="1" hidden="1">
      <c r="A378" s="5" t="s">
        <v>179</v>
      </c>
      <c r="B378" s="34" t="s">
        <v>180</v>
      </c>
      <c r="C378" s="401">
        <v>0</v>
      </c>
    </row>
    <row r="379" ht="15.75" hidden="1"/>
    <row r="380" ht="15.75" hidden="1"/>
    <row r="381" ht="15.75" hidden="1"/>
    <row r="382" ht="15.75" hidden="1"/>
    <row r="383" ht="15.75" hidden="1"/>
    <row r="384" ht="15.75" hidden="1"/>
    <row r="385" ht="15.75" hidden="1"/>
    <row r="386" ht="15.75" hidden="1"/>
    <row r="387" ht="15.75" hidden="1"/>
    <row r="388" ht="15.75" hidden="1"/>
    <row r="389" ht="15.75" hidden="1"/>
    <row r="390" ht="15.75" customHeight="1" hidden="1"/>
    <row r="391" ht="15.75" hidden="1"/>
    <row r="392" ht="15.75" hidden="1"/>
    <row r="393" spans="1:3" ht="16.5" customHeight="1" hidden="1">
      <c r="A393" s="1511" t="s">
        <v>182</v>
      </c>
      <c r="B393" s="1512"/>
      <c r="C393" s="1512"/>
    </row>
    <row r="394" spans="1:3" ht="18.75" hidden="1">
      <c r="A394" s="1509" t="s">
        <v>70</v>
      </c>
      <c r="B394" s="1510"/>
      <c r="C394" s="387" t="s">
        <v>340</v>
      </c>
    </row>
    <row r="395" spans="1:3" ht="15.75" hidden="1">
      <c r="A395" s="1513" t="s">
        <v>6</v>
      </c>
      <c r="B395" s="1514"/>
      <c r="C395" s="399">
        <v>1</v>
      </c>
    </row>
    <row r="396" spans="1:3" ht="24.75" customHeight="1" hidden="1">
      <c r="A396" s="397" t="s">
        <v>52</v>
      </c>
      <c r="B396" s="398" t="s">
        <v>347</v>
      </c>
      <c r="C396" s="400">
        <f>SUM(C397:C402)</f>
        <v>0</v>
      </c>
    </row>
    <row r="397" spans="1:3" ht="24.75" customHeight="1" hidden="1">
      <c r="A397" s="5" t="s">
        <v>54</v>
      </c>
      <c r="B397" s="34" t="s">
        <v>153</v>
      </c>
      <c r="C397" s="401"/>
    </row>
    <row r="398" spans="1:3" ht="24.75" customHeight="1" hidden="1">
      <c r="A398" s="5" t="s">
        <v>55</v>
      </c>
      <c r="B398" s="34" t="s">
        <v>154</v>
      </c>
      <c r="C398" s="401"/>
    </row>
    <row r="399" spans="1:3" ht="24.75" customHeight="1" hidden="1">
      <c r="A399" s="5" t="s">
        <v>141</v>
      </c>
      <c r="B399" s="34" t="s">
        <v>155</v>
      </c>
      <c r="C399" s="401"/>
    </row>
    <row r="400" spans="1:3" ht="24.75" customHeight="1" hidden="1">
      <c r="A400" s="5" t="s">
        <v>143</v>
      </c>
      <c r="B400" s="34" t="s">
        <v>156</v>
      </c>
      <c r="C400" s="401"/>
    </row>
    <row r="401" spans="1:3" ht="24.75" customHeight="1" hidden="1">
      <c r="A401" s="5" t="s">
        <v>145</v>
      </c>
      <c r="B401" s="34" t="s">
        <v>157</v>
      </c>
      <c r="C401" s="401"/>
    </row>
    <row r="402" spans="1:3" ht="24.75" customHeight="1" hidden="1">
      <c r="A402" s="5" t="s">
        <v>147</v>
      </c>
      <c r="B402" s="34" t="s">
        <v>158</v>
      </c>
      <c r="C402" s="401"/>
    </row>
    <row r="403" spans="1:3" ht="24.75" customHeight="1" hidden="1">
      <c r="A403" s="397" t="s">
        <v>53</v>
      </c>
      <c r="B403" s="398" t="s">
        <v>345</v>
      </c>
      <c r="C403" s="400">
        <f>SUM(C404:C405)</f>
        <v>0</v>
      </c>
    </row>
    <row r="404" spans="1:3" ht="24.75" customHeight="1" hidden="1">
      <c r="A404" s="5" t="s">
        <v>56</v>
      </c>
      <c r="B404" s="34" t="s">
        <v>159</v>
      </c>
      <c r="C404" s="401"/>
    </row>
    <row r="405" spans="1:3" ht="24.75" customHeight="1" hidden="1">
      <c r="A405" s="5" t="s">
        <v>57</v>
      </c>
      <c r="B405" s="34" t="s">
        <v>160</v>
      </c>
      <c r="C405" s="401"/>
    </row>
    <row r="406" spans="1:3" ht="24.75" customHeight="1" hidden="1">
      <c r="A406" s="397" t="s">
        <v>58</v>
      </c>
      <c r="B406" s="398" t="s">
        <v>150</v>
      </c>
      <c r="C406" s="400">
        <f>SUM(C407:C409)</f>
        <v>0</v>
      </c>
    </row>
    <row r="407" spans="1:3" ht="24.75" customHeight="1" hidden="1">
      <c r="A407" s="5" t="s">
        <v>161</v>
      </c>
      <c r="B407" s="37" t="s">
        <v>162</v>
      </c>
      <c r="C407" s="401"/>
    </row>
    <row r="408" spans="1:3" ht="24.75" customHeight="1" hidden="1">
      <c r="A408" s="5" t="s">
        <v>163</v>
      </c>
      <c r="B408" s="34" t="s">
        <v>164</v>
      </c>
      <c r="C408" s="401"/>
    </row>
    <row r="409" spans="1:3" ht="24.75" customHeight="1" hidden="1">
      <c r="A409" s="5" t="s">
        <v>165</v>
      </c>
      <c r="B409" s="34" t="s">
        <v>166</v>
      </c>
      <c r="C409" s="401"/>
    </row>
    <row r="410" spans="1:3" ht="24.75" customHeight="1" hidden="1">
      <c r="A410" s="397" t="s">
        <v>73</v>
      </c>
      <c r="B410" s="398" t="s">
        <v>346</v>
      </c>
      <c r="C410" s="400">
        <f>SUM(C411:C416)</f>
        <v>0</v>
      </c>
    </row>
    <row r="411" spans="1:3" ht="24.75" customHeight="1" hidden="1">
      <c r="A411" s="5" t="s">
        <v>167</v>
      </c>
      <c r="B411" s="34" t="s">
        <v>168</v>
      </c>
      <c r="C411" s="401"/>
    </row>
    <row r="412" spans="1:3" ht="24.75" customHeight="1" hidden="1">
      <c r="A412" s="5" t="s">
        <v>169</v>
      </c>
      <c r="B412" s="34" t="s">
        <v>170</v>
      </c>
      <c r="C412" s="401"/>
    </row>
    <row r="413" spans="1:3" ht="24.75" customHeight="1" hidden="1">
      <c r="A413" s="5" t="s">
        <v>171</v>
      </c>
      <c r="B413" s="34" t="s">
        <v>172</v>
      </c>
      <c r="C413" s="401"/>
    </row>
    <row r="414" spans="1:3" ht="24.75" customHeight="1" hidden="1">
      <c r="A414" s="5" t="s">
        <v>173</v>
      </c>
      <c r="B414" s="34" t="s">
        <v>156</v>
      </c>
      <c r="C414" s="401"/>
    </row>
    <row r="415" spans="1:3" ht="24.75" customHeight="1" hidden="1">
      <c r="A415" s="5" t="s">
        <v>174</v>
      </c>
      <c r="B415" s="34" t="s">
        <v>157</v>
      </c>
      <c r="C415" s="401"/>
    </row>
    <row r="416" spans="1:3" ht="24.75" customHeight="1" hidden="1">
      <c r="A416" s="5" t="s">
        <v>175</v>
      </c>
      <c r="B416" s="34" t="s">
        <v>176</v>
      </c>
      <c r="C416" s="401"/>
    </row>
    <row r="417" spans="1:3" ht="24.75" customHeight="1" hidden="1">
      <c r="A417" s="397" t="s">
        <v>74</v>
      </c>
      <c r="B417" s="398" t="s">
        <v>348</v>
      </c>
      <c r="C417" s="400">
        <f>SUM(C418:C420)</f>
        <v>31</v>
      </c>
    </row>
    <row r="418" spans="1:3" ht="24.75" customHeight="1" hidden="1">
      <c r="A418" s="5" t="s">
        <v>177</v>
      </c>
      <c r="B418" s="34" t="s">
        <v>168</v>
      </c>
      <c r="C418" s="401">
        <v>31</v>
      </c>
    </row>
    <row r="419" spans="1:3" ht="24.75" customHeight="1" hidden="1">
      <c r="A419" s="5" t="s">
        <v>178</v>
      </c>
      <c r="B419" s="34" t="s">
        <v>170</v>
      </c>
      <c r="C419" s="401">
        <v>0</v>
      </c>
    </row>
    <row r="420" spans="1:3" ht="24.75" customHeight="1" hidden="1">
      <c r="A420" s="5" t="s">
        <v>179</v>
      </c>
      <c r="B420" s="34" t="s">
        <v>180</v>
      </c>
      <c r="C420" s="401">
        <v>0</v>
      </c>
    </row>
    <row r="421" ht="15.75" hidden="1"/>
    <row r="422" ht="15.75" hidden="1"/>
    <row r="423" ht="15.75" hidden="1"/>
    <row r="424" ht="15.75" hidden="1"/>
    <row r="425" ht="15.75" hidden="1"/>
    <row r="426" ht="15.75" customHeight="1" hidden="1"/>
    <row r="427" ht="15.75" hidden="1"/>
    <row r="428" ht="15.75" hidden="1"/>
    <row r="429" spans="1:3" ht="16.5" customHeight="1" hidden="1">
      <c r="A429" s="1511" t="s">
        <v>182</v>
      </c>
      <c r="B429" s="1512"/>
      <c r="C429" s="1512"/>
    </row>
    <row r="430" spans="1:3" ht="18.75" hidden="1">
      <c r="A430" s="1509" t="s">
        <v>70</v>
      </c>
      <c r="B430" s="1510"/>
      <c r="C430" s="387" t="s">
        <v>340</v>
      </c>
    </row>
    <row r="431" spans="1:3" ht="15.75" hidden="1">
      <c r="A431" s="1513" t="s">
        <v>6</v>
      </c>
      <c r="B431" s="1514"/>
      <c r="C431" s="399">
        <v>1</v>
      </c>
    </row>
    <row r="432" spans="1:3" ht="24.75" customHeight="1" hidden="1">
      <c r="A432" s="397" t="s">
        <v>52</v>
      </c>
      <c r="B432" s="398" t="s">
        <v>347</v>
      </c>
      <c r="C432" s="400">
        <f>SUM(C433:C438)</f>
        <v>0</v>
      </c>
    </row>
    <row r="433" spans="1:3" ht="24.75" customHeight="1" hidden="1">
      <c r="A433" s="5" t="s">
        <v>54</v>
      </c>
      <c r="B433" s="34" t="s">
        <v>153</v>
      </c>
      <c r="C433" s="401"/>
    </row>
    <row r="434" spans="1:3" ht="24.75" customHeight="1" hidden="1">
      <c r="A434" s="5" t="s">
        <v>55</v>
      </c>
      <c r="B434" s="34" t="s">
        <v>154</v>
      </c>
      <c r="C434" s="401"/>
    </row>
    <row r="435" spans="1:3" ht="24.75" customHeight="1" hidden="1">
      <c r="A435" s="5" t="s">
        <v>141</v>
      </c>
      <c r="B435" s="34" t="s">
        <v>155</v>
      </c>
      <c r="C435" s="401"/>
    </row>
    <row r="436" spans="1:3" ht="24.75" customHeight="1" hidden="1">
      <c r="A436" s="5" t="s">
        <v>143</v>
      </c>
      <c r="B436" s="34" t="s">
        <v>156</v>
      </c>
      <c r="C436" s="401"/>
    </row>
    <row r="437" spans="1:3" ht="24.75" customHeight="1" hidden="1">
      <c r="A437" s="5" t="s">
        <v>145</v>
      </c>
      <c r="B437" s="34" t="s">
        <v>157</v>
      </c>
      <c r="C437" s="401"/>
    </row>
    <row r="438" spans="1:3" ht="24.75" customHeight="1" hidden="1">
      <c r="A438" s="5" t="s">
        <v>147</v>
      </c>
      <c r="B438" s="34" t="s">
        <v>158</v>
      </c>
      <c r="C438" s="401"/>
    </row>
    <row r="439" spans="1:3" ht="24.75" customHeight="1" hidden="1">
      <c r="A439" s="397" t="s">
        <v>53</v>
      </c>
      <c r="B439" s="398" t="s">
        <v>345</v>
      </c>
      <c r="C439" s="400">
        <f>SUM(C440:C441)</f>
        <v>0</v>
      </c>
    </row>
    <row r="440" spans="1:3" ht="24.75" customHeight="1" hidden="1">
      <c r="A440" s="5" t="s">
        <v>56</v>
      </c>
      <c r="B440" s="34" t="s">
        <v>159</v>
      </c>
      <c r="C440" s="401"/>
    </row>
    <row r="441" spans="1:3" ht="24.75" customHeight="1" hidden="1">
      <c r="A441" s="5" t="s">
        <v>57</v>
      </c>
      <c r="B441" s="34" t="s">
        <v>160</v>
      </c>
      <c r="C441" s="401"/>
    </row>
    <row r="442" spans="1:3" ht="24.75" customHeight="1" hidden="1">
      <c r="A442" s="397" t="s">
        <v>58</v>
      </c>
      <c r="B442" s="398" t="s">
        <v>150</v>
      </c>
      <c r="C442" s="400">
        <f>SUM(C443:C445)</f>
        <v>0</v>
      </c>
    </row>
    <row r="443" spans="1:3" ht="24.75" customHeight="1" hidden="1">
      <c r="A443" s="5" t="s">
        <v>161</v>
      </c>
      <c r="B443" s="37" t="s">
        <v>162</v>
      </c>
      <c r="C443" s="401"/>
    </row>
    <row r="444" spans="1:3" ht="24.75" customHeight="1" hidden="1">
      <c r="A444" s="5" t="s">
        <v>163</v>
      </c>
      <c r="B444" s="34" t="s">
        <v>164</v>
      </c>
      <c r="C444" s="401"/>
    </row>
    <row r="445" spans="1:3" ht="24.75" customHeight="1" hidden="1">
      <c r="A445" s="5" t="s">
        <v>165</v>
      </c>
      <c r="B445" s="34" t="s">
        <v>166</v>
      </c>
      <c r="C445" s="401"/>
    </row>
    <row r="446" spans="1:3" ht="24.75" customHeight="1" hidden="1">
      <c r="A446" s="397" t="s">
        <v>73</v>
      </c>
      <c r="B446" s="398" t="s">
        <v>346</v>
      </c>
      <c r="C446" s="400">
        <f>SUM(C447:C452)</f>
        <v>0</v>
      </c>
    </row>
    <row r="447" spans="1:3" ht="24.75" customHeight="1" hidden="1">
      <c r="A447" s="5" t="s">
        <v>167</v>
      </c>
      <c r="B447" s="34" t="s">
        <v>168</v>
      </c>
      <c r="C447" s="401"/>
    </row>
    <row r="448" spans="1:3" ht="24.75" customHeight="1" hidden="1">
      <c r="A448" s="5" t="s">
        <v>169</v>
      </c>
      <c r="B448" s="34" t="s">
        <v>170</v>
      </c>
      <c r="C448" s="401"/>
    </row>
    <row r="449" spans="1:3" ht="24.75" customHeight="1" hidden="1">
      <c r="A449" s="5" t="s">
        <v>171</v>
      </c>
      <c r="B449" s="34" t="s">
        <v>172</v>
      </c>
      <c r="C449" s="401"/>
    </row>
    <row r="450" spans="1:3" ht="24.75" customHeight="1" hidden="1">
      <c r="A450" s="5" t="s">
        <v>173</v>
      </c>
      <c r="B450" s="34" t="s">
        <v>156</v>
      </c>
      <c r="C450" s="401"/>
    </row>
    <row r="451" spans="1:3" ht="24.75" customHeight="1" hidden="1">
      <c r="A451" s="5" t="s">
        <v>174</v>
      </c>
      <c r="B451" s="34" t="s">
        <v>157</v>
      </c>
      <c r="C451" s="401"/>
    </row>
    <row r="452" spans="1:3" ht="24.75" customHeight="1" hidden="1">
      <c r="A452" s="5" t="s">
        <v>175</v>
      </c>
      <c r="B452" s="34" t="s">
        <v>176</v>
      </c>
      <c r="C452" s="401"/>
    </row>
    <row r="453" spans="1:3" ht="24.75" customHeight="1" hidden="1">
      <c r="A453" s="397" t="s">
        <v>74</v>
      </c>
      <c r="B453" s="398" t="s">
        <v>348</v>
      </c>
      <c r="C453" s="400">
        <f>SUM(C454:C456)</f>
        <v>13</v>
      </c>
    </row>
    <row r="454" spans="1:3" ht="24.75" customHeight="1" hidden="1">
      <c r="A454" s="5" t="s">
        <v>177</v>
      </c>
      <c r="B454" s="34" t="s">
        <v>168</v>
      </c>
      <c r="C454" s="401">
        <v>13</v>
      </c>
    </row>
    <row r="455" spans="1:3" ht="24.75" customHeight="1" hidden="1">
      <c r="A455" s="5" t="s">
        <v>178</v>
      </c>
      <c r="B455" s="34" t="s">
        <v>170</v>
      </c>
      <c r="C455" s="401"/>
    </row>
    <row r="456" spans="1:3" ht="15.75" hidden="1">
      <c r="A456" s="5" t="s">
        <v>179</v>
      </c>
      <c r="B456" s="34" t="s">
        <v>180</v>
      </c>
      <c r="C456" s="401"/>
    </row>
    <row r="457" ht="15.75" hidden="1"/>
    <row r="458" ht="15.75" hidden="1"/>
    <row r="459" ht="15.75" hidden="1"/>
    <row r="460" ht="15.75" hidden="1"/>
    <row r="461" ht="15.75" hidden="1"/>
    <row r="462" ht="15.75" hidden="1"/>
    <row r="463" ht="15.75" hidden="1"/>
    <row r="464" ht="15.75" hidden="1"/>
    <row r="465" ht="15.75" hidden="1"/>
    <row r="466" ht="15.75" customHeight="1" hidden="1"/>
    <row r="467" ht="15.75" hidden="1"/>
    <row r="468" ht="15.75" hidden="1"/>
    <row r="469" spans="1:3" ht="16.5" customHeight="1" hidden="1">
      <c r="A469" s="1511" t="s">
        <v>182</v>
      </c>
      <c r="B469" s="1512"/>
      <c r="C469" s="1512"/>
    </row>
    <row r="470" spans="1:3" ht="18.75" hidden="1">
      <c r="A470" s="1509" t="s">
        <v>70</v>
      </c>
      <c r="B470" s="1510"/>
      <c r="C470" s="387" t="s">
        <v>340</v>
      </c>
    </row>
    <row r="471" spans="1:3" ht="15.75" hidden="1">
      <c r="A471" s="1513" t="s">
        <v>6</v>
      </c>
      <c r="B471" s="1514"/>
      <c r="C471" s="399">
        <v>1</v>
      </c>
    </row>
    <row r="472" spans="1:3" ht="24.75" customHeight="1" hidden="1">
      <c r="A472" s="397" t="s">
        <v>52</v>
      </c>
      <c r="B472" s="398" t="s">
        <v>347</v>
      </c>
      <c r="C472" s="400">
        <f>SUM(C473:C478)</f>
        <v>0</v>
      </c>
    </row>
    <row r="473" spans="1:3" ht="24.75" customHeight="1" hidden="1">
      <c r="A473" s="5" t="s">
        <v>54</v>
      </c>
      <c r="B473" s="34" t="s">
        <v>153</v>
      </c>
      <c r="C473" s="401"/>
    </row>
    <row r="474" spans="1:3" ht="24.75" customHeight="1" hidden="1">
      <c r="A474" s="5" t="s">
        <v>55</v>
      </c>
      <c r="B474" s="34" t="s">
        <v>154</v>
      </c>
      <c r="C474" s="401"/>
    </row>
    <row r="475" spans="1:3" ht="24.75" customHeight="1" hidden="1">
      <c r="A475" s="5" t="s">
        <v>141</v>
      </c>
      <c r="B475" s="34" t="s">
        <v>155</v>
      </c>
      <c r="C475" s="401"/>
    </row>
    <row r="476" spans="1:3" ht="24.75" customHeight="1" hidden="1">
      <c r="A476" s="5" t="s">
        <v>143</v>
      </c>
      <c r="B476" s="34" t="s">
        <v>156</v>
      </c>
      <c r="C476" s="401"/>
    </row>
    <row r="477" spans="1:3" ht="24.75" customHeight="1" hidden="1">
      <c r="A477" s="5" t="s">
        <v>145</v>
      </c>
      <c r="B477" s="34" t="s">
        <v>157</v>
      </c>
      <c r="C477" s="401"/>
    </row>
    <row r="478" spans="1:3" ht="24.75" customHeight="1" hidden="1">
      <c r="A478" s="5" t="s">
        <v>147</v>
      </c>
      <c r="B478" s="34" t="s">
        <v>158</v>
      </c>
      <c r="C478" s="401"/>
    </row>
    <row r="479" spans="1:3" ht="24.75" customHeight="1" hidden="1">
      <c r="A479" s="397" t="s">
        <v>53</v>
      </c>
      <c r="B479" s="398" t="s">
        <v>345</v>
      </c>
      <c r="C479" s="400">
        <f>SUM(C480:C481)</f>
        <v>1</v>
      </c>
    </row>
    <row r="480" spans="1:3" ht="24.75" customHeight="1" hidden="1">
      <c r="A480" s="5" t="s">
        <v>56</v>
      </c>
      <c r="B480" s="34" t="s">
        <v>159</v>
      </c>
      <c r="C480" s="401">
        <v>1</v>
      </c>
    </row>
    <row r="481" spans="1:3" ht="24.75" customHeight="1" hidden="1">
      <c r="A481" s="5" t="s">
        <v>57</v>
      </c>
      <c r="B481" s="34" t="s">
        <v>160</v>
      </c>
      <c r="C481" s="401">
        <v>0</v>
      </c>
    </row>
    <row r="482" spans="1:3" ht="24.75" customHeight="1" hidden="1">
      <c r="A482" s="397" t="s">
        <v>58</v>
      </c>
      <c r="B482" s="398" t="s">
        <v>150</v>
      </c>
      <c r="C482" s="400">
        <f>SUM(C483:C485)</f>
        <v>0</v>
      </c>
    </row>
    <row r="483" spans="1:3" ht="24.75" customHeight="1" hidden="1">
      <c r="A483" s="5" t="s">
        <v>161</v>
      </c>
      <c r="B483" s="37" t="s">
        <v>162</v>
      </c>
      <c r="C483" s="401"/>
    </row>
    <row r="484" spans="1:3" ht="24.75" customHeight="1" hidden="1">
      <c r="A484" s="5" t="s">
        <v>163</v>
      </c>
      <c r="B484" s="34" t="s">
        <v>164</v>
      </c>
      <c r="C484" s="401"/>
    </row>
    <row r="485" spans="1:3" ht="24.75" customHeight="1" hidden="1">
      <c r="A485" s="5" t="s">
        <v>165</v>
      </c>
      <c r="B485" s="34" t="s">
        <v>166</v>
      </c>
      <c r="C485" s="401"/>
    </row>
    <row r="486" spans="1:3" ht="24.75" customHeight="1" hidden="1">
      <c r="A486" s="397" t="s">
        <v>73</v>
      </c>
      <c r="B486" s="398" t="s">
        <v>346</v>
      </c>
      <c r="C486" s="400">
        <f>SUM(C487:C492)</f>
        <v>0</v>
      </c>
    </row>
    <row r="487" spans="1:3" ht="24.75" customHeight="1" hidden="1">
      <c r="A487" s="5" t="s">
        <v>167</v>
      </c>
      <c r="B487" s="34" t="s">
        <v>168</v>
      </c>
      <c r="C487" s="401"/>
    </row>
    <row r="488" spans="1:3" ht="24.75" customHeight="1" hidden="1">
      <c r="A488" s="5" t="s">
        <v>169</v>
      </c>
      <c r="B488" s="34" t="s">
        <v>170</v>
      </c>
      <c r="C488" s="401"/>
    </row>
    <row r="489" spans="1:3" ht="24.75" customHeight="1" hidden="1">
      <c r="A489" s="5" t="s">
        <v>171</v>
      </c>
      <c r="B489" s="34" t="s">
        <v>172</v>
      </c>
      <c r="C489" s="401"/>
    </row>
    <row r="490" spans="1:3" ht="24.75" customHeight="1" hidden="1">
      <c r="A490" s="5" t="s">
        <v>173</v>
      </c>
      <c r="B490" s="34" t="s">
        <v>156</v>
      </c>
      <c r="C490" s="401"/>
    </row>
    <row r="491" spans="1:3" ht="24.75" customHeight="1" hidden="1">
      <c r="A491" s="5" t="s">
        <v>174</v>
      </c>
      <c r="B491" s="34" t="s">
        <v>157</v>
      </c>
      <c r="C491" s="401"/>
    </row>
    <row r="492" spans="1:3" ht="24.75" customHeight="1" hidden="1">
      <c r="A492" s="5" t="s">
        <v>175</v>
      </c>
      <c r="B492" s="34" t="s">
        <v>176</v>
      </c>
      <c r="C492" s="401"/>
    </row>
    <row r="493" spans="1:3" ht="24.75" customHeight="1" hidden="1">
      <c r="A493" s="397" t="s">
        <v>74</v>
      </c>
      <c r="B493" s="398" t="s">
        <v>348</v>
      </c>
      <c r="C493" s="400">
        <f>SUM(C494:C496)</f>
        <v>11</v>
      </c>
    </row>
    <row r="494" spans="1:3" ht="24.75" customHeight="1" hidden="1">
      <c r="A494" s="5" t="s">
        <v>177</v>
      </c>
      <c r="B494" s="34" t="s">
        <v>168</v>
      </c>
      <c r="C494" s="401">
        <v>11</v>
      </c>
    </row>
    <row r="495" spans="1:3" ht="24.75" customHeight="1" hidden="1">
      <c r="A495" s="5" t="s">
        <v>178</v>
      </c>
      <c r="B495" s="34" t="s">
        <v>170</v>
      </c>
      <c r="C495" s="401">
        <v>0</v>
      </c>
    </row>
    <row r="496" spans="1:3" ht="24.75" customHeight="1" hidden="1">
      <c r="A496" s="5" t="s">
        <v>179</v>
      </c>
      <c r="B496" s="34" t="s">
        <v>180</v>
      </c>
      <c r="C496" s="401">
        <v>0</v>
      </c>
    </row>
    <row r="497" ht="15.75" hidden="1"/>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sheetData>
  <sheetProtection/>
  <mergeCells count="39">
    <mergeCell ref="A429:C429"/>
    <mergeCell ref="A352:B352"/>
    <mergeCell ref="A470:B470"/>
    <mergeCell ref="A471:B471"/>
    <mergeCell ref="A430:B430"/>
    <mergeCell ref="A431:B431"/>
    <mergeCell ref="A469:C469"/>
    <mergeCell ref="A353:B353"/>
    <mergeCell ref="A394:B394"/>
    <mergeCell ref="A395:B395"/>
    <mergeCell ref="A315:B315"/>
    <mergeCell ref="A316:B316"/>
    <mergeCell ref="A393:C393"/>
    <mergeCell ref="A351:C351"/>
    <mergeCell ref="A161:B161"/>
    <mergeCell ref="A314:C314"/>
    <mergeCell ref="A119:C119"/>
    <mergeCell ref="A200:B200"/>
    <mergeCell ref="A121:B121"/>
    <mergeCell ref="A159:C159"/>
    <mergeCell ref="A160:B160"/>
    <mergeCell ref="A237:B237"/>
    <mergeCell ref="A238:B238"/>
    <mergeCell ref="A278:B278"/>
    <mergeCell ref="A277:B277"/>
    <mergeCell ref="A236:C236"/>
    <mergeCell ref="A198:C198"/>
    <mergeCell ref="A199:B199"/>
    <mergeCell ref="A276:C276"/>
    <mergeCell ref="A3:B3"/>
    <mergeCell ref="A1:C1"/>
    <mergeCell ref="A2:B2"/>
    <mergeCell ref="A120:B120"/>
    <mergeCell ref="A81:C81"/>
    <mergeCell ref="A43:C43"/>
    <mergeCell ref="A44:B44"/>
    <mergeCell ref="A45:B45"/>
    <mergeCell ref="A82:B82"/>
    <mergeCell ref="A83:B83"/>
  </mergeCells>
  <printOptions/>
  <pageMargins left="0.5" right="0.25" top="0" bottom="0" header="0.56" footer="0.24"/>
  <pageSetup horizontalDpi="1200" verticalDpi="1200" orientation="landscape" paperSize="9" r:id="rId1"/>
</worksheet>
</file>

<file path=xl/worksheets/sheet15.xml><?xml version="1.0" encoding="utf-8"?>
<worksheet xmlns="http://schemas.openxmlformats.org/spreadsheetml/2006/main" xmlns:r="http://schemas.openxmlformats.org/officeDocument/2006/relationships">
  <sheetPr>
    <tabColor indexed="51"/>
  </sheetPr>
  <dimension ref="A1:P28"/>
  <sheetViews>
    <sheetView showZeros="0" view="pageBreakPreview" zoomScaleSheetLayoutView="100" zoomScalePageLayoutView="0" workbookViewId="0" topLeftCell="A7">
      <selection activeCell="J13" sqref="J13"/>
    </sheetView>
  </sheetViews>
  <sheetFormatPr defaultColWidth="9.00390625" defaultRowHeight="15.75"/>
  <cols>
    <col min="1" max="1" width="4.875" style="434"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476" t="s">
        <v>30</v>
      </c>
      <c r="B1" s="1476"/>
      <c r="C1" s="414"/>
      <c r="D1" s="1477" t="s">
        <v>82</v>
      </c>
      <c r="E1" s="1477"/>
      <c r="F1" s="1477"/>
      <c r="G1" s="1477"/>
      <c r="H1" s="1477"/>
      <c r="I1" s="1477"/>
      <c r="J1" s="1477"/>
      <c r="K1" s="1477"/>
      <c r="L1" s="1478" t="s">
        <v>555</v>
      </c>
      <c r="M1" s="1478"/>
      <c r="N1" s="1478"/>
      <c r="O1" s="1478"/>
    </row>
    <row r="2" spans="1:15" ht="16.5" customHeight="1">
      <c r="A2" s="415" t="s">
        <v>342</v>
      </c>
      <c r="B2" s="415"/>
      <c r="C2" s="415"/>
      <c r="D2" s="1477" t="s">
        <v>183</v>
      </c>
      <c r="E2" s="1477"/>
      <c r="F2" s="1477"/>
      <c r="G2" s="1477"/>
      <c r="H2" s="1477"/>
      <c r="I2" s="1477"/>
      <c r="J2" s="1477"/>
      <c r="K2" s="1477"/>
      <c r="L2" s="1479" t="str">
        <f>'Thong tin'!B4</f>
        <v>Cục THADS tỉnh Bình Thuận</v>
      </c>
      <c r="M2" s="1479"/>
      <c r="N2" s="1479"/>
      <c r="O2" s="1479"/>
    </row>
    <row r="3" spans="1:15" ht="16.5" customHeight="1">
      <c r="A3" s="415" t="s">
        <v>343</v>
      </c>
      <c r="B3" s="415"/>
      <c r="C3" s="415"/>
      <c r="D3" s="1480" t="str">
        <f>'Thong tin'!B3</f>
        <v>12 tháng / năm 2016</v>
      </c>
      <c r="E3" s="1480"/>
      <c r="F3" s="1480"/>
      <c r="G3" s="1480"/>
      <c r="H3" s="1480"/>
      <c r="I3" s="1480"/>
      <c r="J3" s="1480"/>
      <c r="K3" s="1480"/>
      <c r="L3" s="1478" t="s">
        <v>763</v>
      </c>
      <c r="M3" s="1478"/>
      <c r="N3" s="1478"/>
      <c r="O3" s="1478"/>
    </row>
    <row r="4" spans="1:15" ht="16.5" customHeight="1">
      <c r="A4" s="432" t="s">
        <v>119</v>
      </c>
      <c r="B4" s="432"/>
      <c r="C4" s="418"/>
      <c r="D4" s="419"/>
      <c r="E4" s="419"/>
      <c r="F4" s="418"/>
      <c r="G4" s="420"/>
      <c r="H4" s="420"/>
      <c r="I4" s="420"/>
      <c r="J4" s="418"/>
      <c r="K4" s="419"/>
      <c r="L4" s="1479" t="s">
        <v>765</v>
      </c>
      <c r="M4" s="1479"/>
      <c r="N4" s="1479"/>
      <c r="O4" s="1479"/>
    </row>
    <row r="5" spans="1:15" ht="16.5" customHeight="1">
      <c r="A5" s="421"/>
      <c r="B5" s="418"/>
      <c r="C5" s="418"/>
      <c r="D5" s="418"/>
      <c r="E5" s="418"/>
      <c r="F5" s="422"/>
      <c r="G5" s="423"/>
      <c r="H5" s="423"/>
      <c r="I5" s="423"/>
      <c r="J5" s="422"/>
      <c r="K5" s="424"/>
      <c r="L5" s="1486" t="s">
        <v>8</v>
      </c>
      <c r="M5" s="1486"/>
      <c r="N5" s="1486"/>
      <c r="O5" s="1486"/>
    </row>
    <row r="6" spans="1:15" ht="18.75" customHeight="1">
      <c r="A6" s="1497" t="s">
        <v>69</v>
      </c>
      <c r="B6" s="1497"/>
      <c r="C6" s="1497" t="s">
        <v>38</v>
      </c>
      <c r="D6" s="1497" t="s">
        <v>337</v>
      </c>
      <c r="E6" s="1497"/>
      <c r="F6" s="1497"/>
      <c r="G6" s="1497"/>
      <c r="H6" s="1497"/>
      <c r="I6" s="1497"/>
      <c r="J6" s="1497"/>
      <c r="K6" s="1497"/>
      <c r="L6" s="1497"/>
      <c r="M6" s="1497"/>
      <c r="N6" s="1497"/>
      <c r="O6" s="1497"/>
    </row>
    <row r="7" spans="1:15" ht="20.25" customHeight="1">
      <c r="A7" s="1497"/>
      <c r="B7" s="1497"/>
      <c r="C7" s="1497"/>
      <c r="D7" s="1517" t="s">
        <v>120</v>
      </c>
      <c r="E7" s="1515" t="s">
        <v>121</v>
      </c>
      <c r="F7" s="1515"/>
      <c r="G7" s="1515"/>
      <c r="H7" s="1515" t="s">
        <v>122</v>
      </c>
      <c r="I7" s="1515" t="s">
        <v>123</v>
      </c>
      <c r="J7" s="1515" t="s">
        <v>124</v>
      </c>
      <c r="K7" s="1515" t="s">
        <v>125</v>
      </c>
      <c r="L7" s="1515" t="s">
        <v>126</v>
      </c>
      <c r="M7" s="1515" t="s">
        <v>127</v>
      </c>
      <c r="N7" s="1515" t="s">
        <v>184</v>
      </c>
      <c r="O7" s="1515" t="s">
        <v>128</v>
      </c>
    </row>
    <row r="8" spans="1:15" ht="19.5" customHeight="1">
      <c r="A8" s="1497"/>
      <c r="B8" s="1497"/>
      <c r="C8" s="1497"/>
      <c r="D8" s="1517"/>
      <c r="E8" s="1515" t="s">
        <v>37</v>
      </c>
      <c r="F8" s="1515" t="s">
        <v>7</v>
      </c>
      <c r="G8" s="1515"/>
      <c r="H8" s="1515"/>
      <c r="I8" s="1515"/>
      <c r="J8" s="1515"/>
      <c r="K8" s="1515"/>
      <c r="L8" s="1515"/>
      <c r="M8" s="1515"/>
      <c r="N8" s="1515"/>
      <c r="O8" s="1515"/>
    </row>
    <row r="9" spans="1:15" ht="39.75" customHeight="1">
      <c r="A9" s="1497"/>
      <c r="B9" s="1497"/>
      <c r="C9" s="1497"/>
      <c r="D9" s="1517"/>
      <c r="E9" s="1515"/>
      <c r="F9" s="510" t="s">
        <v>129</v>
      </c>
      <c r="G9" s="510" t="s">
        <v>130</v>
      </c>
      <c r="H9" s="1515"/>
      <c r="I9" s="1515"/>
      <c r="J9" s="1515"/>
      <c r="K9" s="1515"/>
      <c r="L9" s="1515"/>
      <c r="M9" s="1515"/>
      <c r="N9" s="1515"/>
      <c r="O9" s="1515"/>
    </row>
    <row r="10" spans="1:15" s="393" customFormat="1" ht="17.25" customHeight="1">
      <c r="A10" s="1516" t="s">
        <v>40</v>
      </c>
      <c r="B10" s="1516"/>
      <c r="C10" s="501">
        <v>1</v>
      </c>
      <c r="D10" s="501">
        <v>2</v>
      </c>
      <c r="E10" s="501">
        <v>3</v>
      </c>
      <c r="F10" s="501">
        <v>4</v>
      </c>
      <c r="G10" s="501">
        <v>5</v>
      </c>
      <c r="H10" s="501">
        <v>6</v>
      </c>
      <c r="I10" s="501">
        <v>7</v>
      </c>
      <c r="J10" s="501">
        <v>8</v>
      </c>
      <c r="K10" s="501">
        <v>9</v>
      </c>
      <c r="L10" s="501">
        <v>10</v>
      </c>
      <c r="M10" s="501">
        <v>11</v>
      </c>
      <c r="N10" s="501">
        <v>12</v>
      </c>
      <c r="O10" s="501">
        <v>13</v>
      </c>
    </row>
    <row r="11" spans="1:16" ht="22.5" customHeight="1">
      <c r="A11" s="805" t="s">
        <v>0</v>
      </c>
      <c r="B11" s="806" t="s">
        <v>131</v>
      </c>
      <c r="C11" s="1021">
        <f>D11+F11+G11+H11+I11+J11+K11+L11+M11+N11+O11</f>
        <v>4672</v>
      </c>
      <c r="D11" s="1021">
        <f aca="true" t="shared" si="0" ref="D11:O11">D12+D13</f>
        <v>3154</v>
      </c>
      <c r="E11" s="1021">
        <f t="shared" si="0"/>
        <v>590</v>
      </c>
      <c r="F11" s="1021">
        <f t="shared" si="0"/>
        <v>0</v>
      </c>
      <c r="G11" s="1021">
        <f t="shared" si="0"/>
        <v>590</v>
      </c>
      <c r="H11" s="1021">
        <f t="shared" si="0"/>
        <v>1</v>
      </c>
      <c r="I11" s="1021">
        <f t="shared" si="0"/>
        <v>768</v>
      </c>
      <c r="J11" s="1021">
        <f t="shared" si="0"/>
        <v>145</v>
      </c>
      <c r="K11" s="1021">
        <f t="shared" si="0"/>
        <v>8</v>
      </c>
      <c r="L11" s="1021">
        <f t="shared" si="0"/>
        <v>2</v>
      </c>
      <c r="M11" s="1021">
        <f t="shared" si="0"/>
        <v>4</v>
      </c>
      <c r="N11" s="1021">
        <f t="shared" si="0"/>
        <v>0</v>
      </c>
      <c r="O11" s="1021">
        <f t="shared" si="0"/>
        <v>0</v>
      </c>
      <c r="P11" s="821">
        <f>P12+P13</f>
        <v>17575</v>
      </c>
    </row>
    <row r="12" spans="1:16" s="403" customFormat="1" ht="22.5" customHeight="1">
      <c r="A12" s="428">
        <v>1</v>
      </c>
      <c r="B12" s="807" t="s">
        <v>132</v>
      </c>
      <c r="C12" s="1021">
        <f aca="true" t="shared" si="1" ref="C12:C25">D12+F12+G12+H12+I12+J12+K12+L12+M12+N12+O12</f>
        <v>2800</v>
      </c>
      <c r="D12" s="1024">
        <f>95+504+272+385+71+201+54+233+59+88+34-22</f>
        <v>1974</v>
      </c>
      <c r="E12" s="1021">
        <f>F12+G12</f>
        <v>305</v>
      </c>
      <c r="F12" s="1024">
        <v>0</v>
      </c>
      <c r="G12" s="1024">
        <f>47+78+19+30+14+12+7+81+4+10+3</f>
        <v>305</v>
      </c>
      <c r="H12" s="1024">
        <v>0</v>
      </c>
      <c r="I12" s="1024">
        <f>9+14+20+115+17+60+29+28+19+95+2+7</f>
        <v>415</v>
      </c>
      <c r="J12" s="1024">
        <f>9+2+19+7+4+6+30+23+0-3</f>
        <v>97</v>
      </c>
      <c r="K12" s="1024">
        <v>6</v>
      </c>
      <c r="L12" s="1024">
        <v>2</v>
      </c>
      <c r="M12" s="1024">
        <v>1</v>
      </c>
      <c r="N12" s="1026">
        <v>0</v>
      </c>
      <c r="O12" s="1026">
        <v>0</v>
      </c>
      <c r="P12" s="825">
        <f>C12+'01'!C12</f>
        <v>5842</v>
      </c>
    </row>
    <row r="13" spans="1:16" s="403" customFormat="1" ht="22.5" customHeight="1">
      <c r="A13" s="428">
        <v>2</v>
      </c>
      <c r="B13" s="807" t="s">
        <v>133</v>
      </c>
      <c r="C13" s="1021">
        <f t="shared" si="1"/>
        <v>1872</v>
      </c>
      <c r="D13" s="1026">
        <f>3+150+90+99+150+122+52+194+183+113+23+0+1</f>
        <v>1180</v>
      </c>
      <c r="E13" s="1021">
        <f>F13+G13</f>
        <v>285</v>
      </c>
      <c r="F13" s="1026">
        <v>0</v>
      </c>
      <c r="G13" s="1026">
        <f>32+38+28+41+32+38+15+31+18+12+0</f>
        <v>285</v>
      </c>
      <c r="H13" s="1026">
        <v>1</v>
      </c>
      <c r="I13" s="1026">
        <f>6+4+18+49+6+60+15+40+51+104+0</f>
        <v>353</v>
      </c>
      <c r="J13" s="1026">
        <f>6+21+5+4+4+7+1+2-2</f>
        <v>48</v>
      </c>
      <c r="K13" s="1026">
        <v>2</v>
      </c>
      <c r="L13" s="1026">
        <v>0</v>
      </c>
      <c r="M13" s="1026">
        <v>3</v>
      </c>
      <c r="N13" s="1026">
        <v>0</v>
      </c>
      <c r="O13" s="1026">
        <v>0</v>
      </c>
      <c r="P13" s="825">
        <f>C13+'01'!C13</f>
        <v>11733</v>
      </c>
    </row>
    <row r="14" spans="1:16" ht="22.5" customHeight="1">
      <c r="A14" s="808" t="s">
        <v>1</v>
      </c>
      <c r="B14" s="809" t="s">
        <v>134</v>
      </c>
      <c r="C14" s="1027">
        <f t="shared" si="1"/>
        <v>66</v>
      </c>
      <c r="D14" s="1028">
        <v>26</v>
      </c>
      <c r="E14" s="1027">
        <f>F14+G14</f>
        <v>30</v>
      </c>
      <c r="F14" s="1028">
        <v>0</v>
      </c>
      <c r="G14" s="1028">
        <v>30</v>
      </c>
      <c r="H14" s="1028">
        <v>0</v>
      </c>
      <c r="I14" s="1028">
        <v>10</v>
      </c>
      <c r="J14" s="1028">
        <v>0</v>
      </c>
      <c r="K14" s="1028">
        <v>0</v>
      </c>
      <c r="L14" s="1028">
        <v>0</v>
      </c>
      <c r="M14" s="1028">
        <v>0</v>
      </c>
      <c r="N14" s="1028">
        <v>0</v>
      </c>
      <c r="O14" s="1028">
        <v>0</v>
      </c>
      <c r="P14" s="821">
        <f>C14+'01'!C14</f>
        <v>264</v>
      </c>
    </row>
    <row r="15" spans="1:16" ht="22.5" customHeight="1">
      <c r="A15" s="808" t="s">
        <v>9</v>
      </c>
      <c r="B15" s="809" t="s">
        <v>135</v>
      </c>
      <c r="C15" s="1027">
        <f t="shared" si="1"/>
        <v>27</v>
      </c>
      <c r="D15" s="1028">
        <v>22</v>
      </c>
      <c r="E15" s="1027">
        <f>F15+G15</f>
        <v>0</v>
      </c>
      <c r="F15" s="1028">
        <v>0</v>
      </c>
      <c r="G15" s="1028">
        <v>0</v>
      </c>
      <c r="H15" s="1028">
        <v>0</v>
      </c>
      <c r="I15" s="1028">
        <v>0</v>
      </c>
      <c r="J15" s="1028">
        <v>5</v>
      </c>
      <c r="K15" s="1028">
        <v>0</v>
      </c>
      <c r="L15" s="1028">
        <v>0</v>
      </c>
      <c r="M15" s="1028">
        <v>0</v>
      </c>
      <c r="N15" s="1028">
        <v>0</v>
      </c>
      <c r="O15" s="1028">
        <v>0</v>
      </c>
      <c r="P15" s="821">
        <f>C15+'01'!C15</f>
        <v>43</v>
      </c>
    </row>
    <row r="16" spans="1:16" ht="22.5" customHeight="1">
      <c r="A16" s="805" t="s">
        <v>136</v>
      </c>
      <c r="B16" s="810" t="s">
        <v>137</v>
      </c>
      <c r="C16" s="1021">
        <f>C17+C25</f>
        <v>4606</v>
      </c>
      <c r="D16" s="1021">
        <f aca="true" t="shared" si="2" ref="D16:O16">D17+D25</f>
        <v>3128</v>
      </c>
      <c r="E16" s="1021">
        <f>F16+G16</f>
        <v>560</v>
      </c>
      <c r="F16" s="1021">
        <f t="shared" si="2"/>
        <v>0</v>
      </c>
      <c r="G16" s="1021">
        <f t="shared" si="2"/>
        <v>560</v>
      </c>
      <c r="H16" s="1021">
        <f t="shared" si="2"/>
        <v>1</v>
      </c>
      <c r="I16" s="1021">
        <f t="shared" si="2"/>
        <v>758</v>
      </c>
      <c r="J16" s="1021">
        <f t="shared" si="2"/>
        <v>145</v>
      </c>
      <c r="K16" s="1021">
        <f t="shared" si="2"/>
        <v>8</v>
      </c>
      <c r="L16" s="1021">
        <f t="shared" si="2"/>
        <v>2</v>
      </c>
      <c r="M16" s="1021">
        <f t="shared" si="2"/>
        <v>4</v>
      </c>
      <c r="N16" s="1021">
        <f t="shared" si="2"/>
        <v>0</v>
      </c>
      <c r="O16" s="1021">
        <f t="shared" si="2"/>
        <v>0</v>
      </c>
      <c r="P16" s="821">
        <f>P17+P25</f>
        <v>17311</v>
      </c>
    </row>
    <row r="17" spans="1:16" ht="22.5" customHeight="1">
      <c r="A17" s="805" t="s">
        <v>52</v>
      </c>
      <c r="B17" s="810" t="s">
        <v>138</v>
      </c>
      <c r="C17" s="1021">
        <f t="shared" si="1"/>
        <v>3670</v>
      </c>
      <c r="D17" s="1030">
        <f>D18+D19+D20+D21+D22+D23+D24</f>
        <v>2518</v>
      </c>
      <c r="E17" s="1021">
        <f aca="true" t="shared" si="3" ref="E17:E25">F17+G17</f>
        <v>396</v>
      </c>
      <c r="F17" s="1030">
        <f>F18+F19+F20+F21+F22+F23+F24</f>
        <v>0</v>
      </c>
      <c r="G17" s="1030">
        <f aca="true" t="shared" si="4" ref="G17:O17">G18+G19+G20+G21+G22+G23+G24</f>
        <v>396</v>
      </c>
      <c r="H17" s="1030">
        <f t="shared" si="4"/>
        <v>1</v>
      </c>
      <c r="I17" s="1030">
        <f t="shared" si="4"/>
        <v>618</v>
      </c>
      <c r="J17" s="1030">
        <f t="shared" si="4"/>
        <v>124</v>
      </c>
      <c r="K17" s="1030">
        <f t="shared" si="4"/>
        <v>8</v>
      </c>
      <c r="L17" s="1030">
        <f t="shared" si="4"/>
        <v>2</v>
      </c>
      <c r="M17" s="1030">
        <f t="shared" si="4"/>
        <v>3</v>
      </c>
      <c r="N17" s="1030">
        <f t="shared" si="4"/>
        <v>0</v>
      </c>
      <c r="O17" s="1030">
        <f t="shared" si="4"/>
        <v>0</v>
      </c>
      <c r="P17" s="821">
        <f>P18+P19+P20+P21+P22+P23+P2+P24</f>
        <v>14762</v>
      </c>
    </row>
    <row r="18" spans="1:16" ht="19.5" customHeight="1">
      <c r="A18" s="428" t="s">
        <v>54</v>
      </c>
      <c r="B18" s="807" t="s">
        <v>139</v>
      </c>
      <c r="C18" s="1021">
        <f t="shared" si="1"/>
        <v>746</v>
      </c>
      <c r="D18" s="1031">
        <f>12+53+38+119+15+56+43+28+16+29+4+0</f>
        <v>413</v>
      </c>
      <c r="E18" s="1021">
        <f t="shared" si="3"/>
        <v>138</v>
      </c>
      <c r="F18" s="1031">
        <v>0</v>
      </c>
      <c r="G18" s="1031">
        <f>5+4+4+5+29+15+34+6+20+16</f>
        <v>138</v>
      </c>
      <c r="H18" s="1031">
        <v>0</v>
      </c>
      <c r="I18" s="1031">
        <f>2+94+32+12+3+17+1+10+1+1+6</f>
        <v>179</v>
      </c>
      <c r="J18" s="1031">
        <f>1+3+1+2+2+1+5+0</f>
        <v>15</v>
      </c>
      <c r="K18" s="1031">
        <v>1</v>
      </c>
      <c r="L18" s="1031">
        <v>0</v>
      </c>
      <c r="M18" s="1031">
        <v>0</v>
      </c>
      <c r="N18" s="1031">
        <v>0</v>
      </c>
      <c r="O18" s="1031">
        <v>0</v>
      </c>
      <c r="P18" s="821">
        <f>C18+'01'!C18</f>
        <v>10288</v>
      </c>
    </row>
    <row r="19" spans="1:16" ht="19.5" customHeight="1">
      <c r="A19" s="428" t="s">
        <v>55</v>
      </c>
      <c r="B19" s="807" t="s">
        <v>140</v>
      </c>
      <c r="C19" s="1021">
        <f t="shared" si="1"/>
        <v>355</v>
      </c>
      <c r="D19" s="1031">
        <f>5+9+11+5+14+24+9+34+30+73+12+0</f>
        <v>226</v>
      </c>
      <c r="E19" s="1021">
        <f t="shared" si="3"/>
        <v>28</v>
      </c>
      <c r="F19" s="1031">
        <v>0</v>
      </c>
      <c r="G19" s="1031">
        <f>28</f>
        <v>28</v>
      </c>
      <c r="H19" s="1031">
        <v>0</v>
      </c>
      <c r="I19" s="1031">
        <f>3+5+16+2+14+4+13+4+30+0</f>
        <v>91</v>
      </c>
      <c r="J19" s="1031">
        <v>10</v>
      </c>
      <c r="K19" s="1031">
        <v>0</v>
      </c>
      <c r="L19" s="1031">
        <v>0</v>
      </c>
      <c r="M19" s="1031">
        <v>0</v>
      </c>
      <c r="N19" s="1031">
        <v>0</v>
      </c>
      <c r="O19" s="1031">
        <v>0</v>
      </c>
      <c r="P19" s="821">
        <f>C19+'01'!C19</f>
        <v>531</v>
      </c>
    </row>
    <row r="20" spans="1:16" ht="19.5" customHeight="1">
      <c r="A20" s="428" t="s">
        <v>141</v>
      </c>
      <c r="B20" s="807" t="s">
        <v>142</v>
      </c>
      <c r="C20" s="1021">
        <f t="shared" si="1"/>
        <v>2353</v>
      </c>
      <c r="D20" s="1031">
        <f>73+361+137+236+88+200+103+209+107+144+22+0</f>
        <v>1680</v>
      </c>
      <c r="E20" s="1021">
        <f t="shared" si="3"/>
        <v>230</v>
      </c>
      <c r="F20" s="1031">
        <v>0</v>
      </c>
      <c r="G20" s="1031">
        <f>33+56+16+13+12+12+10+65+3+7+3</f>
        <v>230</v>
      </c>
      <c r="H20" s="1031">
        <v>0</v>
      </c>
      <c r="I20" s="1031">
        <f>14+56+24+31+28+64+18+73+22+11+8+0-7</f>
        <v>342</v>
      </c>
      <c r="J20" s="1031">
        <f>9+4+16+7+3+5+33+14+0</f>
        <v>91</v>
      </c>
      <c r="K20" s="1031">
        <v>7</v>
      </c>
      <c r="L20" s="1031">
        <v>0</v>
      </c>
      <c r="M20" s="1031">
        <v>3</v>
      </c>
      <c r="N20" s="1031">
        <v>0</v>
      </c>
      <c r="O20" s="1031">
        <v>0</v>
      </c>
      <c r="P20" s="821">
        <f>C20+'01'!C20</f>
        <v>3609</v>
      </c>
    </row>
    <row r="21" spans="1:16" ht="19.5" customHeight="1">
      <c r="A21" s="428" t="s">
        <v>143</v>
      </c>
      <c r="B21" s="807" t="s">
        <v>144</v>
      </c>
      <c r="C21" s="1021">
        <f t="shared" si="1"/>
        <v>78</v>
      </c>
      <c r="D21" s="1026">
        <f>4+1+1+5+3+24+4+23+6+0</f>
        <v>71</v>
      </c>
      <c r="E21" s="1021">
        <f t="shared" si="3"/>
        <v>0</v>
      </c>
      <c r="F21" s="1026">
        <v>0</v>
      </c>
      <c r="G21" s="1026">
        <v>0</v>
      </c>
      <c r="H21" s="1026">
        <v>0</v>
      </c>
      <c r="I21" s="1026">
        <v>5</v>
      </c>
      <c r="J21" s="1026">
        <v>2</v>
      </c>
      <c r="K21" s="1026">
        <v>0</v>
      </c>
      <c r="L21" s="1026">
        <v>0</v>
      </c>
      <c r="M21" s="1031">
        <v>0</v>
      </c>
      <c r="N21" s="1031">
        <v>0</v>
      </c>
      <c r="O21" s="1031">
        <v>0</v>
      </c>
      <c r="P21" s="821">
        <f>C21+'01'!C21</f>
        <v>105</v>
      </c>
    </row>
    <row r="22" spans="1:16" ht="19.5" customHeight="1">
      <c r="A22" s="428" t="s">
        <v>145</v>
      </c>
      <c r="B22" s="807" t="s">
        <v>146</v>
      </c>
      <c r="C22" s="1021">
        <f t="shared" si="1"/>
        <v>15</v>
      </c>
      <c r="D22" s="1031">
        <v>12</v>
      </c>
      <c r="E22" s="1021">
        <f t="shared" si="3"/>
        <v>0</v>
      </c>
      <c r="F22" s="1031">
        <v>0</v>
      </c>
      <c r="G22" s="1031">
        <v>0</v>
      </c>
      <c r="H22" s="1031">
        <v>1</v>
      </c>
      <c r="I22" s="1031">
        <v>0</v>
      </c>
      <c r="J22" s="1031">
        <v>2</v>
      </c>
      <c r="K22" s="1031">
        <v>0</v>
      </c>
      <c r="L22" s="1031">
        <v>0</v>
      </c>
      <c r="M22" s="1031">
        <v>0</v>
      </c>
      <c r="N22" s="1031">
        <v>0</v>
      </c>
      <c r="O22" s="1031">
        <v>0</v>
      </c>
      <c r="P22" s="821">
        <f>C22+'01'!C22</f>
        <v>22</v>
      </c>
    </row>
    <row r="23" spans="1:16" ht="24" customHeight="1">
      <c r="A23" s="428" t="s">
        <v>147</v>
      </c>
      <c r="B23" s="431" t="s">
        <v>148</v>
      </c>
      <c r="C23" s="1021">
        <f t="shared" si="1"/>
        <v>10</v>
      </c>
      <c r="D23" s="1031">
        <v>10</v>
      </c>
      <c r="E23" s="1021">
        <f t="shared" si="3"/>
        <v>0</v>
      </c>
      <c r="F23" s="1031">
        <v>0</v>
      </c>
      <c r="G23" s="1031">
        <v>0</v>
      </c>
      <c r="H23" s="1031">
        <v>0</v>
      </c>
      <c r="I23" s="1031">
        <v>0</v>
      </c>
      <c r="J23" s="1031">
        <v>0</v>
      </c>
      <c r="K23" s="1031">
        <v>0</v>
      </c>
      <c r="L23" s="1031">
        <v>0</v>
      </c>
      <c r="M23" s="1031">
        <v>0</v>
      </c>
      <c r="N23" s="1031">
        <v>0</v>
      </c>
      <c r="O23" s="1031">
        <v>0</v>
      </c>
      <c r="P23" s="821">
        <f>C23+'01'!C23</f>
        <v>10</v>
      </c>
    </row>
    <row r="24" spans="1:16" ht="19.5" customHeight="1">
      <c r="A24" s="428" t="s">
        <v>149</v>
      </c>
      <c r="B24" s="807" t="s">
        <v>150</v>
      </c>
      <c r="C24" s="1021">
        <f t="shared" si="1"/>
        <v>113</v>
      </c>
      <c r="D24" s="1026">
        <f>1+3+85+11+5+1+0</f>
        <v>106</v>
      </c>
      <c r="E24" s="1021">
        <f t="shared" si="3"/>
        <v>0</v>
      </c>
      <c r="F24" s="1026">
        <v>0</v>
      </c>
      <c r="G24" s="1026">
        <v>0</v>
      </c>
      <c r="H24" s="1026">
        <v>0</v>
      </c>
      <c r="I24" s="1026">
        <v>1</v>
      </c>
      <c r="J24" s="1026">
        <v>4</v>
      </c>
      <c r="K24" s="1026">
        <v>0</v>
      </c>
      <c r="L24" s="1026">
        <v>2</v>
      </c>
      <c r="M24" s="1031">
        <v>0</v>
      </c>
      <c r="N24" s="1031">
        <v>0</v>
      </c>
      <c r="O24" s="1031">
        <v>0</v>
      </c>
      <c r="P24" s="821">
        <f>C24+'01'!C24</f>
        <v>197</v>
      </c>
    </row>
    <row r="25" spans="1:16" ht="22.5" customHeight="1">
      <c r="A25" s="805" t="s">
        <v>53</v>
      </c>
      <c r="B25" s="810" t="s">
        <v>151</v>
      </c>
      <c r="C25" s="1021">
        <f t="shared" si="1"/>
        <v>936</v>
      </c>
      <c r="D25" s="1021">
        <f>6+49+12+87+42+27+5+141+151+81+9+0</f>
        <v>610</v>
      </c>
      <c r="E25" s="1021">
        <f t="shared" si="3"/>
        <v>164</v>
      </c>
      <c r="F25" s="1021">
        <v>0</v>
      </c>
      <c r="G25" s="1021">
        <f>16+34+4+8+14+20+22+19+27+0</f>
        <v>164</v>
      </c>
      <c r="H25" s="1021">
        <v>0</v>
      </c>
      <c r="I25" s="1021">
        <f>3+9+64+1+22+8+10+9+14+0</f>
        <v>140</v>
      </c>
      <c r="J25" s="1021">
        <f>21</f>
        <v>21</v>
      </c>
      <c r="K25" s="1021">
        <v>0</v>
      </c>
      <c r="L25" s="1021">
        <v>0</v>
      </c>
      <c r="M25" s="1021">
        <v>1</v>
      </c>
      <c r="N25" s="1032">
        <v>0</v>
      </c>
      <c r="O25" s="1032">
        <v>0</v>
      </c>
      <c r="P25" s="821">
        <f>C25+'01'!C25</f>
        <v>2549</v>
      </c>
    </row>
    <row r="26" spans="1:16" ht="32.25" customHeight="1">
      <c r="A26" s="799" t="s">
        <v>553</v>
      </c>
      <c r="B26" s="811" t="s">
        <v>152</v>
      </c>
      <c r="C26" s="804">
        <f>(C18+C19)/C17</f>
        <v>0.3</v>
      </c>
      <c r="D26" s="804">
        <f aca="true" t="shared" si="5" ref="D26:O26">(D18+D19)/D17</f>
        <v>0.25377283558379665</v>
      </c>
      <c r="E26" s="804">
        <f t="shared" si="5"/>
        <v>0.41919191919191917</v>
      </c>
      <c r="F26" s="804" t="e">
        <f t="shared" si="5"/>
        <v>#DIV/0!</v>
      </c>
      <c r="G26" s="804">
        <f t="shared" si="5"/>
        <v>0.41919191919191917</v>
      </c>
      <c r="H26" s="804">
        <f t="shared" si="5"/>
        <v>0</v>
      </c>
      <c r="I26" s="804">
        <f t="shared" si="5"/>
        <v>0.4368932038834951</v>
      </c>
      <c r="J26" s="804">
        <f t="shared" si="5"/>
        <v>0.20161290322580644</v>
      </c>
      <c r="K26" s="804">
        <f t="shared" si="5"/>
        <v>0.125</v>
      </c>
      <c r="L26" s="804">
        <f t="shared" si="5"/>
        <v>0</v>
      </c>
      <c r="M26" s="804">
        <f t="shared" si="5"/>
        <v>0</v>
      </c>
      <c r="N26" s="804" t="e">
        <f t="shared" si="5"/>
        <v>#DIV/0!</v>
      </c>
      <c r="O26" s="804" t="e">
        <f t="shared" si="5"/>
        <v>#DIV/0!</v>
      </c>
      <c r="P26" s="821">
        <f>P25+P24+P23+P22+P21+P20</f>
        <v>6492</v>
      </c>
    </row>
    <row r="27" spans="3:15" ht="15">
      <c r="C27" s="821">
        <f>C25+C17+C14-C11</f>
        <v>0</v>
      </c>
      <c r="D27" s="821">
        <f aca="true" t="shared" si="6" ref="D27:O27">D25+D17+D14-D11</f>
        <v>0</v>
      </c>
      <c r="E27" s="821">
        <f t="shared" si="6"/>
        <v>0</v>
      </c>
      <c r="F27" s="821">
        <f t="shared" si="6"/>
        <v>0</v>
      </c>
      <c r="G27" s="821">
        <f t="shared" si="6"/>
        <v>0</v>
      </c>
      <c r="H27" s="821">
        <f t="shared" si="6"/>
        <v>0</v>
      </c>
      <c r="I27" s="821">
        <f t="shared" si="6"/>
        <v>0</v>
      </c>
      <c r="J27" s="821">
        <f t="shared" si="6"/>
        <v>0</v>
      </c>
      <c r="K27" s="821">
        <f t="shared" si="6"/>
        <v>0</v>
      </c>
      <c r="L27" s="821">
        <f t="shared" si="6"/>
        <v>0</v>
      </c>
      <c r="M27" s="821">
        <f t="shared" si="6"/>
        <v>0</v>
      </c>
      <c r="N27" s="821">
        <f t="shared" si="6"/>
        <v>0</v>
      </c>
      <c r="O27" s="821">
        <f t="shared" si="6"/>
        <v>0</v>
      </c>
    </row>
    <row r="28" spans="3:15" ht="15">
      <c r="C28" s="821"/>
      <c r="D28" s="821"/>
      <c r="E28" s="821"/>
      <c r="F28" s="821"/>
      <c r="G28" s="821"/>
      <c r="H28" s="821"/>
      <c r="I28" s="821"/>
      <c r="J28" s="821"/>
      <c r="K28" s="821">
        <f>K25+K17+K15+K14-K11</f>
        <v>0</v>
      </c>
      <c r="L28" s="821">
        <f>L25+L17+L15+L14-L11</f>
        <v>0</v>
      </c>
      <c r="M28" s="821">
        <f>M25+M17+M15+M14-M11</f>
        <v>0</v>
      </c>
      <c r="N28" s="821">
        <f>N25+N17+N15+N14-N11</f>
        <v>0</v>
      </c>
      <c r="O28" s="821">
        <f>O25+O17+O15+O14-O11</f>
        <v>0</v>
      </c>
    </row>
    <row r="31" ht="15"/>
  </sheetData>
  <sheetProtection/>
  <mergeCells count="25">
    <mergeCell ref="A1:B1"/>
    <mergeCell ref="D1:K1"/>
    <mergeCell ref="D2:K2"/>
    <mergeCell ref="A6:B9"/>
    <mergeCell ref="C6:C9"/>
    <mergeCell ref="E7:G7"/>
    <mergeCell ref="H7:H9"/>
    <mergeCell ref="J7:J9"/>
    <mergeCell ref="K7:K9"/>
    <mergeCell ref="D3:K3"/>
    <mergeCell ref="A10:B10"/>
    <mergeCell ref="F8:G8"/>
    <mergeCell ref="E8:E9"/>
    <mergeCell ref="D6:O6"/>
    <mergeCell ref="N7:N9"/>
    <mergeCell ref="D7:D9"/>
    <mergeCell ref="O7:O9"/>
    <mergeCell ref="L7:L9"/>
    <mergeCell ref="I7:I9"/>
    <mergeCell ref="L1:O1"/>
    <mergeCell ref="L2:O2"/>
    <mergeCell ref="L3:O3"/>
    <mergeCell ref="M7:M9"/>
    <mergeCell ref="L4:O4"/>
    <mergeCell ref="L5:O5"/>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D40"/>
  <sheetViews>
    <sheetView showZeros="0" view="pageBreakPreview" zoomScaleNormal="80" zoomScaleSheetLayoutView="100" zoomScalePageLayoutView="0" workbookViewId="0" topLeftCell="A7">
      <selection activeCell="E27" sqref="E27"/>
    </sheetView>
  </sheetViews>
  <sheetFormatPr defaultColWidth="9.00390625" defaultRowHeight="15.75"/>
  <cols>
    <col min="1" max="1" width="4.25390625" style="421" customWidth="1"/>
    <col min="2" max="2" width="71.125" style="421" customWidth="1"/>
    <col min="3" max="3" width="51.125" style="421" customWidth="1"/>
    <col min="4" max="16384" width="9.00390625" style="421" customWidth="1"/>
  </cols>
  <sheetData>
    <row r="1" spans="1:3" s="434" customFormat="1" ht="28.5" customHeight="1">
      <c r="A1" s="1520" t="s">
        <v>569</v>
      </c>
      <c r="B1" s="1521"/>
      <c r="C1" s="1521"/>
    </row>
    <row r="2" spans="1:3" ht="14.25" customHeight="1">
      <c r="A2" s="1522" t="s">
        <v>70</v>
      </c>
      <c r="B2" s="1523"/>
      <c r="C2" s="827" t="s">
        <v>769</v>
      </c>
    </row>
    <row r="3" spans="1:3" s="436" customFormat="1" ht="11.25" customHeight="1">
      <c r="A3" s="1522" t="s">
        <v>6</v>
      </c>
      <c r="B3" s="1523"/>
      <c r="C3" s="435">
        <v>1</v>
      </c>
    </row>
    <row r="4" spans="1:4" s="437" customFormat="1" ht="14.25" customHeight="1">
      <c r="A4" s="828" t="s">
        <v>52</v>
      </c>
      <c r="B4" s="829" t="s">
        <v>567</v>
      </c>
      <c r="C4" s="1033">
        <f>'02'!C21</f>
        <v>78</v>
      </c>
      <c r="D4" s="819">
        <f>C5+C6+C7+C8+C9+C10+C11+C12+C13-C4</f>
        <v>0</v>
      </c>
    </row>
    <row r="5" spans="1:4" s="26" customFormat="1" ht="12.75" customHeight="1">
      <c r="A5" s="435" t="s">
        <v>54</v>
      </c>
      <c r="B5" s="830" t="s">
        <v>168</v>
      </c>
      <c r="C5" s="1025">
        <v>6</v>
      </c>
      <c r="D5" s="818"/>
    </row>
    <row r="6" spans="1:4" s="26" customFormat="1" ht="13.5" customHeight="1">
      <c r="A6" s="435" t="s">
        <v>55</v>
      </c>
      <c r="B6" s="830" t="s">
        <v>170</v>
      </c>
      <c r="C6" s="1025">
        <v>22</v>
      </c>
      <c r="D6" s="818"/>
    </row>
    <row r="7" spans="1:4" s="26" customFormat="1" ht="13.5" customHeight="1">
      <c r="A7" s="435" t="s">
        <v>141</v>
      </c>
      <c r="B7" s="830" t="s">
        <v>180</v>
      </c>
      <c r="C7" s="1025">
        <v>17</v>
      </c>
      <c r="D7" s="818"/>
    </row>
    <row r="8" spans="1:4" s="26" customFormat="1" ht="14.25" customHeight="1">
      <c r="A8" s="435" t="s">
        <v>143</v>
      </c>
      <c r="B8" s="830" t="s">
        <v>172</v>
      </c>
      <c r="C8" s="1025">
        <v>29</v>
      </c>
      <c r="D8" s="818"/>
    </row>
    <row r="9" spans="1:4" s="26" customFormat="1" ht="12.75" customHeight="1">
      <c r="A9" s="435" t="s">
        <v>145</v>
      </c>
      <c r="B9" s="830" t="s">
        <v>156</v>
      </c>
      <c r="C9" s="1025">
        <v>4</v>
      </c>
      <c r="D9" s="818"/>
    </row>
    <row r="10" spans="1:4" s="26" customFormat="1" ht="12" customHeight="1">
      <c r="A10" s="435" t="s">
        <v>147</v>
      </c>
      <c r="B10" s="830" t="s">
        <v>185</v>
      </c>
      <c r="C10" s="1025">
        <v>0</v>
      </c>
      <c r="D10" s="818"/>
    </row>
    <row r="11" spans="1:4" s="26" customFormat="1" ht="11.25" customHeight="1">
      <c r="A11" s="435" t="s">
        <v>149</v>
      </c>
      <c r="B11" s="830" t="s">
        <v>158</v>
      </c>
      <c r="C11" s="1025">
        <v>0</v>
      </c>
      <c r="D11" s="818"/>
    </row>
    <row r="12" spans="1:4" s="438" customFormat="1" ht="12" customHeight="1">
      <c r="A12" s="435" t="s">
        <v>186</v>
      </c>
      <c r="B12" s="830" t="s">
        <v>187</v>
      </c>
      <c r="C12" s="1037">
        <v>0</v>
      </c>
      <c r="D12" s="833"/>
    </row>
    <row r="13" spans="1:4" s="438" customFormat="1" ht="14.25" customHeight="1">
      <c r="A13" s="435" t="s">
        <v>573</v>
      </c>
      <c r="B13" s="830" t="s">
        <v>160</v>
      </c>
      <c r="C13" s="1037">
        <v>0</v>
      </c>
      <c r="D13" s="833"/>
    </row>
    <row r="14" spans="1:4" s="438" customFormat="1" ht="13.5" customHeight="1">
      <c r="A14" s="828" t="s">
        <v>53</v>
      </c>
      <c r="B14" s="829" t="s">
        <v>565</v>
      </c>
      <c r="C14" s="1038">
        <f>'02'!C22</f>
        <v>15</v>
      </c>
      <c r="D14" s="833">
        <f>C15+C16-C14</f>
        <v>0</v>
      </c>
    </row>
    <row r="15" spans="1:4" s="438" customFormat="1" ht="12.75" customHeight="1">
      <c r="A15" s="435" t="s">
        <v>56</v>
      </c>
      <c r="B15" s="830" t="s">
        <v>188</v>
      </c>
      <c r="C15" s="1025">
        <v>15</v>
      </c>
      <c r="D15" s="833"/>
    </row>
    <row r="16" spans="1:4" s="438" customFormat="1" ht="15.75" customHeight="1">
      <c r="A16" s="435" t="s">
        <v>57</v>
      </c>
      <c r="B16" s="830" t="s">
        <v>160</v>
      </c>
      <c r="C16" s="1025">
        <v>0</v>
      </c>
      <c r="D16" s="833"/>
    </row>
    <row r="17" spans="1:4" s="437" customFormat="1" ht="12.75" customHeight="1">
      <c r="A17" s="828" t="s">
        <v>58</v>
      </c>
      <c r="B17" s="829" t="s">
        <v>150</v>
      </c>
      <c r="C17" s="1038">
        <f>'02'!C24</f>
        <v>113</v>
      </c>
      <c r="D17" s="819">
        <f>C18+C19+C20-C17</f>
        <v>0</v>
      </c>
    </row>
    <row r="18" spans="1:4" s="26" customFormat="1" ht="15" customHeight="1">
      <c r="A18" s="435" t="s">
        <v>161</v>
      </c>
      <c r="B18" s="830" t="s">
        <v>189</v>
      </c>
      <c r="C18" s="1025">
        <v>77</v>
      </c>
      <c r="D18" s="818"/>
    </row>
    <row r="19" spans="1:4" s="26" customFormat="1" ht="18" customHeight="1">
      <c r="A19" s="435" t="s">
        <v>163</v>
      </c>
      <c r="B19" s="830" t="s">
        <v>164</v>
      </c>
      <c r="C19" s="1025">
        <v>24</v>
      </c>
      <c r="D19" s="818"/>
    </row>
    <row r="20" spans="1:4" s="26" customFormat="1" ht="15.75" customHeight="1">
      <c r="A20" s="435" t="s">
        <v>165</v>
      </c>
      <c r="B20" s="830" t="s">
        <v>166</v>
      </c>
      <c r="C20" s="1025">
        <v>12</v>
      </c>
      <c r="D20" s="818"/>
    </row>
    <row r="21" spans="1:4" s="26" customFormat="1" ht="14.25" customHeight="1">
      <c r="A21" s="828" t="s">
        <v>73</v>
      </c>
      <c r="B21" s="829" t="s">
        <v>562</v>
      </c>
      <c r="C21" s="1038">
        <f>'02'!C19</f>
        <v>355</v>
      </c>
      <c r="D21" s="818">
        <f>C22+C23+C24+C25+C26+C27+C28-C21</f>
        <v>0</v>
      </c>
    </row>
    <row r="22" spans="1:4" s="26" customFormat="1" ht="14.25" customHeight="1">
      <c r="A22" s="435" t="s">
        <v>167</v>
      </c>
      <c r="B22" s="830" t="s">
        <v>168</v>
      </c>
      <c r="C22" s="1025">
        <v>117</v>
      </c>
      <c r="D22" s="818"/>
    </row>
    <row r="23" spans="1:4" s="26" customFormat="1" ht="13.5" customHeight="1">
      <c r="A23" s="435" t="s">
        <v>169</v>
      </c>
      <c r="B23" s="830" t="s">
        <v>170</v>
      </c>
      <c r="C23" s="1025">
        <v>0</v>
      </c>
      <c r="D23" s="818"/>
    </row>
    <row r="24" spans="1:4" s="26" customFormat="1" ht="13.5" customHeight="1">
      <c r="A24" s="435" t="s">
        <v>171</v>
      </c>
      <c r="B24" s="830" t="s">
        <v>190</v>
      </c>
      <c r="C24" s="1025">
        <v>203</v>
      </c>
      <c r="D24" s="818"/>
    </row>
    <row r="25" spans="1:4" s="26" customFormat="1" ht="14.25" customHeight="1">
      <c r="A25" s="435" t="s">
        <v>173</v>
      </c>
      <c r="B25" s="830" t="s">
        <v>155</v>
      </c>
      <c r="C25" s="1025">
        <v>15</v>
      </c>
      <c r="D25" s="818"/>
    </row>
    <row r="26" spans="1:4" s="26" customFormat="1" ht="13.5" customHeight="1">
      <c r="A26" s="435" t="s">
        <v>174</v>
      </c>
      <c r="B26" s="830" t="s">
        <v>191</v>
      </c>
      <c r="C26" s="1025">
        <v>20</v>
      </c>
      <c r="D26" s="818"/>
    </row>
    <row r="27" spans="1:4" s="26" customFormat="1" ht="13.5" customHeight="1">
      <c r="A27" s="435" t="s">
        <v>175</v>
      </c>
      <c r="B27" s="830" t="s">
        <v>158</v>
      </c>
      <c r="C27" s="1025">
        <v>0</v>
      </c>
      <c r="D27" s="818"/>
    </row>
    <row r="28" spans="1:4" s="26" customFormat="1" ht="14.25" customHeight="1">
      <c r="A28" s="435" t="s">
        <v>192</v>
      </c>
      <c r="B28" s="830" t="s">
        <v>193</v>
      </c>
      <c r="C28" s="1025">
        <v>0</v>
      </c>
      <c r="D28" s="818"/>
    </row>
    <row r="29" spans="1:4" s="26" customFormat="1" ht="14.25" customHeight="1">
      <c r="A29" s="828" t="s">
        <v>74</v>
      </c>
      <c r="B29" s="829" t="s">
        <v>566</v>
      </c>
      <c r="C29" s="1038">
        <f>'02'!C25</f>
        <v>936</v>
      </c>
      <c r="D29" s="818">
        <f>C32+C31+C30-C29</f>
        <v>0</v>
      </c>
    </row>
    <row r="30" spans="1:4" ht="15.75" customHeight="1">
      <c r="A30" s="435" t="s">
        <v>177</v>
      </c>
      <c r="B30" s="830" t="s">
        <v>168</v>
      </c>
      <c r="C30" s="1025">
        <v>931</v>
      </c>
      <c r="D30" s="834"/>
    </row>
    <row r="31" spans="1:4" s="26" customFormat="1" ht="15" customHeight="1">
      <c r="A31" s="435" t="s">
        <v>178</v>
      </c>
      <c r="B31" s="830" t="s">
        <v>170</v>
      </c>
      <c r="C31" s="1025">
        <v>0</v>
      </c>
      <c r="D31" s="818"/>
    </row>
    <row r="32" spans="1:4" s="26" customFormat="1" ht="12" customHeight="1" thickBot="1">
      <c r="A32" s="831" t="s">
        <v>179</v>
      </c>
      <c r="B32" s="832" t="s">
        <v>190</v>
      </c>
      <c r="C32" s="1039">
        <v>5</v>
      </c>
      <c r="D32" s="818"/>
    </row>
    <row r="33" spans="1:3" s="26" customFormat="1" ht="16.5" customHeight="1" thickTop="1">
      <c r="A33" s="1524"/>
      <c r="B33" s="1524"/>
      <c r="C33" s="893" t="str">
        <f>'Thong tin'!B9</f>
        <v>Bình Thuận, ngày 04 tháng 10 năm 2016</v>
      </c>
    </row>
    <row r="34" spans="1:3" s="26" customFormat="1" ht="16.5">
      <c r="A34" s="1519" t="s">
        <v>4</v>
      </c>
      <c r="B34" s="1519"/>
      <c r="C34" s="886" t="str">
        <f>'Thong tin'!B7</f>
        <v>KT. CỤC TRƯỞNG</v>
      </c>
    </row>
    <row r="35" spans="1:3" s="26" customFormat="1" ht="16.5">
      <c r="A35" s="890"/>
      <c r="B35" s="889"/>
      <c r="C35" s="886" t="str">
        <f>'Thong tin'!B8</f>
        <v>PHÓ CỤC TRƯỞNG</v>
      </c>
    </row>
    <row r="36" spans="1:3" s="26" customFormat="1" ht="12" customHeight="1">
      <c r="A36" s="890"/>
      <c r="B36" s="889"/>
      <c r="C36" s="889"/>
    </row>
    <row r="37" spans="1:3" s="26" customFormat="1" ht="16.5">
      <c r="A37" s="890"/>
      <c r="B37" s="890"/>
      <c r="C37" s="890"/>
    </row>
    <row r="38" spans="1:3" ht="16.5">
      <c r="A38" s="892"/>
      <c r="B38" s="889"/>
      <c r="C38" s="887"/>
    </row>
    <row r="39" spans="1:3" ht="16.5">
      <c r="A39" s="887"/>
      <c r="B39" s="887"/>
      <c r="C39" s="887"/>
    </row>
    <row r="40" spans="1:3" s="437" customFormat="1" ht="16.5">
      <c r="A40" s="1518" t="str">
        <f>'Thong tin'!B5</f>
        <v>Trần Quốc Bảo</v>
      </c>
      <c r="B40" s="1518"/>
      <c r="C40" s="885" t="str">
        <f>'Thong tin'!B6</f>
        <v>Trần Nam</v>
      </c>
    </row>
  </sheetData>
  <sheetProtection/>
  <mergeCells count="6">
    <mergeCell ref="A40:B40"/>
    <mergeCell ref="A34:B34"/>
    <mergeCell ref="A1:C1"/>
    <mergeCell ref="A2:B2"/>
    <mergeCell ref="A3:B3"/>
    <mergeCell ref="A33:B33"/>
  </mergeCells>
  <printOptions/>
  <pageMargins left="0" right="0" top="0" bottom="0" header="0.47" footer="0.2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1"/>
  </sheetPr>
  <dimension ref="A1:P30"/>
  <sheetViews>
    <sheetView showZeros="0" view="pageBreakPreview" zoomScaleSheetLayoutView="100" zoomScalePageLayoutView="0" workbookViewId="0" topLeftCell="A10">
      <selection activeCell="J12" sqref="J12"/>
    </sheetView>
  </sheetViews>
  <sheetFormatPr defaultColWidth="9.00390625" defaultRowHeight="15.75"/>
  <cols>
    <col min="1" max="1" width="4.125" style="434" customWidth="1"/>
    <col min="2" max="2" width="22.625" style="388" customWidth="1"/>
    <col min="3" max="3" width="10.625" style="388" customWidth="1"/>
    <col min="4" max="4" width="10.75390625" style="388" customWidth="1"/>
    <col min="5" max="5" width="10.375" style="388" customWidth="1"/>
    <col min="6" max="6" width="9.50390625" style="388" bestFit="1" customWidth="1"/>
    <col min="7" max="7" width="10.375" style="388" customWidth="1"/>
    <col min="8" max="8" width="8.25390625" style="388" customWidth="1"/>
    <col min="9" max="9" width="10.125" style="388" customWidth="1"/>
    <col min="10" max="10" width="11.125" style="388" customWidth="1"/>
    <col min="11" max="14" width="8.25390625" style="388" customWidth="1"/>
    <col min="15" max="16384" width="9.00390625" style="388" customWidth="1"/>
  </cols>
  <sheetData>
    <row r="1" spans="1:16" ht="23.25" customHeight="1">
      <c r="A1" s="1525" t="s">
        <v>31</v>
      </c>
      <c r="B1" s="1525"/>
      <c r="C1" s="441"/>
      <c r="D1" s="442" t="s">
        <v>194</v>
      </c>
      <c r="E1" s="442"/>
      <c r="F1" s="442"/>
      <c r="G1" s="442"/>
      <c r="H1" s="442"/>
      <c r="I1" s="442"/>
      <c r="J1" s="443"/>
      <c r="K1" s="1478" t="s">
        <v>555</v>
      </c>
      <c r="L1" s="1478"/>
      <c r="M1" s="1478"/>
      <c r="N1" s="1478"/>
      <c r="O1" s="413"/>
      <c r="P1" s="413"/>
    </row>
    <row r="2" spans="1:16" ht="16.5" customHeight="1">
      <c r="A2" s="1526" t="s">
        <v>342</v>
      </c>
      <c r="B2" s="1526"/>
      <c r="C2" s="1526"/>
      <c r="D2" s="1477" t="s">
        <v>118</v>
      </c>
      <c r="E2" s="1477"/>
      <c r="F2" s="1477"/>
      <c r="G2" s="1477"/>
      <c r="H2" s="1477"/>
      <c r="I2" s="1477"/>
      <c r="J2" s="442"/>
      <c r="K2" s="1479" t="str">
        <f>'Thong tin'!B4</f>
        <v>Cục THADS tỉnh Bình Thuận</v>
      </c>
      <c r="L2" s="1479"/>
      <c r="M2" s="1479"/>
      <c r="N2" s="1479"/>
      <c r="O2" s="413"/>
      <c r="P2" s="422"/>
    </row>
    <row r="3" spans="1:16" ht="16.5" customHeight="1">
      <c r="A3" s="1526" t="s">
        <v>343</v>
      </c>
      <c r="B3" s="1526"/>
      <c r="C3" s="413"/>
      <c r="D3" s="1480" t="str">
        <f>'Thong tin'!B3</f>
        <v>12 tháng / năm 2016</v>
      </c>
      <c r="E3" s="1480"/>
      <c r="F3" s="1480"/>
      <c r="G3" s="1480"/>
      <c r="H3" s="1480"/>
      <c r="I3" s="1480"/>
      <c r="J3" s="444"/>
      <c r="K3" s="1478" t="s">
        <v>763</v>
      </c>
      <c r="L3" s="1478"/>
      <c r="M3" s="1478"/>
      <c r="N3" s="1478"/>
      <c r="O3" s="413"/>
      <c r="P3" s="445"/>
    </row>
    <row r="4" spans="1:16" ht="16.5" customHeight="1">
      <c r="A4" s="432" t="s">
        <v>119</v>
      </c>
      <c r="B4" s="432"/>
      <c r="C4" s="418"/>
      <c r="D4" s="419"/>
      <c r="E4" s="419"/>
      <c r="F4" s="418"/>
      <c r="G4" s="420"/>
      <c r="H4" s="420"/>
      <c r="I4" s="420"/>
      <c r="J4" s="418"/>
      <c r="K4" s="1479" t="s">
        <v>765</v>
      </c>
      <c r="L4" s="1479"/>
      <c r="M4" s="1479"/>
      <c r="N4" s="1479"/>
      <c r="O4" s="413"/>
      <c r="P4" s="445"/>
    </row>
    <row r="5" spans="1:16" ht="16.5" customHeight="1">
      <c r="A5" s="421"/>
      <c r="B5" s="418"/>
      <c r="C5" s="446"/>
      <c r="D5" s="418"/>
      <c r="E5" s="418"/>
      <c r="F5" s="422"/>
      <c r="G5" s="423"/>
      <c r="H5" s="423"/>
      <c r="I5" s="423"/>
      <c r="J5" s="422"/>
      <c r="K5" s="1486" t="s">
        <v>195</v>
      </c>
      <c r="L5" s="1486"/>
      <c r="M5" s="1486"/>
      <c r="N5" s="1486"/>
      <c r="O5" s="413"/>
      <c r="P5" s="445"/>
    </row>
    <row r="6" spans="1:16" ht="18.75" customHeight="1">
      <c r="A6" s="1490" t="s">
        <v>69</v>
      </c>
      <c r="B6" s="1491"/>
      <c r="C6" s="1497" t="s">
        <v>38</v>
      </c>
      <c r="D6" s="1496" t="s">
        <v>338</v>
      </c>
      <c r="E6" s="1498"/>
      <c r="F6" s="1498"/>
      <c r="G6" s="1498"/>
      <c r="H6" s="1498"/>
      <c r="I6" s="1498"/>
      <c r="J6" s="1498"/>
      <c r="K6" s="1498"/>
      <c r="L6" s="1498"/>
      <c r="M6" s="1498"/>
      <c r="N6" s="1499"/>
      <c r="O6" s="443"/>
      <c r="P6" s="447"/>
    </row>
    <row r="7" spans="1:16" ht="27" customHeight="1">
      <c r="A7" s="1492"/>
      <c r="B7" s="1493"/>
      <c r="C7" s="1497"/>
      <c r="D7" s="1482" t="s">
        <v>196</v>
      </c>
      <c r="E7" s="1502" t="s">
        <v>197</v>
      </c>
      <c r="F7" s="1503"/>
      <c r="G7" s="1504"/>
      <c r="H7" s="1482" t="s">
        <v>198</v>
      </c>
      <c r="I7" s="1482" t="s">
        <v>768</v>
      </c>
      <c r="J7" s="1482" t="s">
        <v>199</v>
      </c>
      <c r="K7" s="1482" t="s">
        <v>125</v>
      </c>
      <c r="L7" s="1482" t="s">
        <v>126</v>
      </c>
      <c r="M7" s="1482" t="s">
        <v>127</v>
      </c>
      <c r="N7" s="1515" t="s">
        <v>128</v>
      </c>
      <c r="O7" s="445"/>
      <c r="P7" s="445"/>
    </row>
    <row r="8" spans="1:16" ht="18" customHeight="1">
      <c r="A8" s="1492"/>
      <c r="B8" s="1493"/>
      <c r="C8" s="1497"/>
      <c r="D8" s="1482"/>
      <c r="E8" s="1489" t="s">
        <v>37</v>
      </c>
      <c r="F8" s="1484" t="s">
        <v>7</v>
      </c>
      <c r="G8" s="1485"/>
      <c r="H8" s="1482"/>
      <c r="I8" s="1482"/>
      <c r="J8" s="1482"/>
      <c r="K8" s="1482"/>
      <c r="L8" s="1482"/>
      <c r="M8" s="1482"/>
      <c r="N8" s="1515"/>
      <c r="O8" s="1529"/>
      <c r="P8" s="1529"/>
    </row>
    <row r="9" spans="1:16" ht="26.25" customHeight="1">
      <c r="A9" s="1494"/>
      <c r="B9" s="1495"/>
      <c r="C9" s="1497"/>
      <c r="D9" s="1483"/>
      <c r="E9" s="1483"/>
      <c r="F9" s="509" t="s">
        <v>200</v>
      </c>
      <c r="G9" s="510" t="s">
        <v>201</v>
      </c>
      <c r="H9" s="1483"/>
      <c r="I9" s="1483"/>
      <c r="J9" s="1483"/>
      <c r="K9" s="1483"/>
      <c r="L9" s="1483"/>
      <c r="M9" s="1483"/>
      <c r="N9" s="1515"/>
      <c r="O9" s="448"/>
      <c r="P9" s="448"/>
    </row>
    <row r="10" spans="1:16" s="451" customFormat="1" ht="20.25" customHeight="1">
      <c r="A10" s="1527" t="s">
        <v>40</v>
      </c>
      <c r="B10" s="1528"/>
      <c r="C10" s="449">
        <v>1</v>
      </c>
      <c r="D10" s="449">
        <v>2</v>
      </c>
      <c r="E10" s="449">
        <v>3</v>
      </c>
      <c r="F10" s="449">
        <v>4</v>
      </c>
      <c r="G10" s="449">
        <v>5</v>
      </c>
      <c r="H10" s="449">
        <v>6</v>
      </c>
      <c r="I10" s="449">
        <v>7</v>
      </c>
      <c r="J10" s="449">
        <v>8</v>
      </c>
      <c r="K10" s="449">
        <v>9</v>
      </c>
      <c r="L10" s="449">
        <v>10</v>
      </c>
      <c r="M10" s="449">
        <v>11</v>
      </c>
      <c r="N10" s="449">
        <v>12</v>
      </c>
      <c r="O10" s="450"/>
      <c r="P10" s="450"/>
    </row>
    <row r="11" spans="1:16" ht="21" customHeight="1">
      <c r="A11" s="814" t="s">
        <v>0</v>
      </c>
      <c r="B11" s="815" t="s">
        <v>131</v>
      </c>
      <c r="C11" s="1040">
        <f>C12+C13</f>
        <v>41632988</v>
      </c>
      <c r="D11" s="1040">
        <f aca="true" t="shared" si="0" ref="D11:N11">D12+D13</f>
        <v>18299431</v>
      </c>
      <c r="E11" s="1040">
        <f t="shared" si="0"/>
        <v>15131142</v>
      </c>
      <c r="F11" s="1040">
        <f t="shared" si="0"/>
        <v>894062</v>
      </c>
      <c r="G11" s="1040">
        <f t="shared" si="0"/>
        <v>14237080</v>
      </c>
      <c r="H11" s="1040">
        <f t="shared" si="0"/>
        <v>7901</v>
      </c>
      <c r="I11" s="1040">
        <f t="shared" si="0"/>
        <v>3719130</v>
      </c>
      <c r="J11" s="1040">
        <f t="shared" si="0"/>
        <v>4398058</v>
      </c>
      <c r="K11" s="1040">
        <f t="shared" si="0"/>
        <v>13679</v>
      </c>
      <c r="L11" s="1040">
        <f t="shared" si="0"/>
        <v>1000</v>
      </c>
      <c r="M11" s="1040">
        <f t="shared" si="0"/>
        <v>0</v>
      </c>
      <c r="N11" s="1040">
        <f t="shared" si="0"/>
        <v>62647</v>
      </c>
      <c r="O11" s="447"/>
      <c r="P11" s="447"/>
    </row>
    <row r="12" spans="1:16" ht="21" customHeight="1">
      <c r="A12" s="428">
        <v>1</v>
      </c>
      <c r="B12" s="807" t="s">
        <v>132</v>
      </c>
      <c r="C12" s="1040">
        <f>D12+E12+H12+I12+J12+K12+L12+M12+N12</f>
        <v>22212151</v>
      </c>
      <c r="D12" s="1041">
        <f>519978+3144666+1406102+440312+108446+528917+215938+604200+757625+410297+69277-206367</f>
        <v>7999391</v>
      </c>
      <c r="E12" s="1042">
        <f>F12+G12</f>
        <v>10483287</v>
      </c>
      <c r="F12" s="1041">
        <f>65200+385347+58760+27598+55410+21990+19200+46750+5200+0</f>
        <v>685455</v>
      </c>
      <c r="G12" s="1041">
        <f>400665+1424652+806853+480522+386183+275045+565546+1190274+1513109+2651331+103652</f>
        <v>9797832</v>
      </c>
      <c r="H12" s="1041">
        <v>200</v>
      </c>
      <c r="I12" s="1041">
        <f>4500+32229+115294+93466+237757+31394+19689+239509+352540+100</f>
        <v>1126478</v>
      </c>
      <c r="J12" s="1041">
        <f>326656+1241400+254239+52149+150243+268820+69846+398321-160766</f>
        <v>2600908</v>
      </c>
      <c r="K12" s="1041">
        <v>887</v>
      </c>
      <c r="L12" s="1041">
        <v>1000</v>
      </c>
      <c r="M12" s="1041">
        <v>0</v>
      </c>
      <c r="N12" s="1043">
        <v>0</v>
      </c>
      <c r="O12" s="445"/>
      <c r="P12" s="445"/>
    </row>
    <row r="13" spans="1:16" ht="21" customHeight="1">
      <c r="A13" s="428">
        <v>2</v>
      </c>
      <c r="B13" s="807" t="s">
        <v>133</v>
      </c>
      <c r="C13" s="1040">
        <f>D13+E13+H13+I13+J13+K13+L13+M13+N13</f>
        <v>19420837</v>
      </c>
      <c r="D13" s="1043">
        <f>4650+832461+1610771+781234+509511+1323389+147988+1595868+1559165+1526431+409589-1017</f>
        <v>10300040</v>
      </c>
      <c r="E13" s="1042">
        <f>F13+G13</f>
        <v>4647855</v>
      </c>
      <c r="F13" s="1043">
        <f>2750+15675+400+8648+137680+12820+30634+0</f>
        <v>208607</v>
      </c>
      <c r="G13" s="1043">
        <f>500533+765480+329529+410767+430235+393332+248268+255508+909546+180278+15772+0</f>
        <v>4439248</v>
      </c>
      <c r="H13" s="1043">
        <f>800+1+1300+800+1800+400+1400+1200+0</f>
        <v>7701</v>
      </c>
      <c r="I13" s="1043">
        <f>61621+268763+197121+204431+160603+382081+192468+904772+150157+58167+12468+0</f>
        <v>2592652</v>
      </c>
      <c r="J13" s="1043">
        <f>333890+928153+192037+94873+50078+65174+101642+31303+0</f>
        <v>1797150</v>
      </c>
      <c r="K13" s="1043">
        <v>12792</v>
      </c>
      <c r="L13" s="1043">
        <v>0</v>
      </c>
      <c r="M13" s="1043">
        <v>0</v>
      </c>
      <c r="N13" s="1043">
        <v>62647</v>
      </c>
      <c r="O13" s="445"/>
      <c r="P13" s="445"/>
    </row>
    <row r="14" spans="1:16" ht="21" customHeight="1">
      <c r="A14" s="808" t="s">
        <v>1</v>
      </c>
      <c r="B14" s="809" t="s">
        <v>134</v>
      </c>
      <c r="C14" s="1044">
        <f>D14+E14+H14+I14+J14+K14+L14+M14+N14</f>
        <v>836625</v>
      </c>
      <c r="D14" s="1045">
        <f>5962+36690+628+38061+390+1775+0</f>
        <v>83506</v>
      </c>
      <c r="E14" s="1046">
        <f>F14+G14</f>
        <v>735151</v>
      </c>
      <c r="F14" s="1045">
        <f>100+200+650</f>
        <v>950</v>
      </c>
      <c r="G14" s="1045">
        <f>200+43290+115522+6522+34700+3190+1850+600+191386+95834+241107</f>
        <v>734201</v>
      </c>
      <c r="H14" s="1045">
        <v>0</v>
      </c>
      <c r="I14" s="1045">
        <f>381+3083+6738+200+600+300+400+0</f>
        <v>11702</v>
      </c>
      <c r="J14" s="1045">
        <v>6266</v>
      </c>
      <c r="K14" s="1045">
        <v>0</v>
      </c>
      <c r="L14" s="1045">
        <v>0</v>
      </c>
      <c r="M14" s="1045">
        <v>0</v>
      </c>
      <c r="N14" s="1045">
        <v>0</v>
      </c>
      <c r="O14" s="445"/>
      <c r="P14" s="445"/>
    </row>
    <row r="15" spans="1:16" ht="20.25" customHeight="1">
      <c r="A15" s="808" t="s">
        <v>9</v>
      </c>
      <c r="B15" s="809" t="s">
        <v>135</v>
      </c>
      <c r="C15" s="1044">
        <f>D15+E15+H15+I15+J15+K15+L15+M15+N15</f>
        <v>367133</v>
      </c>
      <c r="D15" s="1045">
        <f>106818+43471+45120+4511+6447+0</f>
        <v>206367</v>
      </c>
      <c r="E15" s="1046">
        <f>F15+G15</f>
        <v>0</v>
      </c>
      <c r="F15" s="1045">
        <v>0</v>
      </c>
      <c r="G15" s="1045">
        <v>0</v>
      </c>
      <c r="H15" s="1045">
        <v>0</v>
      </c>
      <c r="I15" s="1045">
        <v>0</v>
      </c>
      <c r="J15" s="1045">
        <f>136310+24456+0</f>
        <v>160766</v>
      </c>
      <c r="K15" s="1045">
        <v>0</v>
      </c>
      <c r="L15" s="1045">
        <v>0</v>
      </c>
      <c r="M15" s="1045">
        <v>0</v>
      </c>
      <c r="N15" s="1045">
        <v>0</v>
      </c>
      <c r="O15" s="445"/>
      <c r="P15" s="445"/>
    </row>
    <row r="16" spans="1:16" ht="21" customHeight="1">
      <c r="A16" s="805" t="s">
        <v>136</v>
      </c>
      <c r="B16" s="810" t="s">
        <v>137</v>
      </c>
      <c r="C16" s="1047">
        <f>C17+C26</f>
        <v>40796363</v>
      </c>
      <c r="D16" s="1047">
        <f aca="true" t="shared" si="1" ref="D16:N16">D17+D26</f>
        <v>18215925</v>
      </c>
      <c r="E16" s="1047">
        <f t="shared" si="1"/>
        <v>14395991</v>
      </c>
      <c r="F16" s="1047">
        <f t="shared" si="1"/>
        <v>893112</v>
      </c>
      <c r="G16" s="1047">
        <f t="shared" si="1"/>
        <v>13502879</v>
      </c>
      <c r="H16" s="1047">
        <f t="shared" si="1"/>
        <v>7901</v>
      </c>
      <c r="I16" s="1047">
        <f t="shared" si="1"/>
        <v>3707428</v>
      </c>
      <c r="J16" s="1047">
        <f t="shared" si="1"/>
        <v>4391792</v>
      </c>
      <c r="K16" s="1047">
        <f t="shared" si="1"/>
        <v>13679</v>
      </c>
      <c r="L16" s="1047">
        <f t="shared" si="1"/>
        <v>1000</v>
      </c>
      <c r="M16" s="1047">
        <f t="shared" si="1"/>
        <v>0</v>
      </c>
      <c r="N16" s="1040">
        <f t="shared" si="1"/>
        <v>62647</v>
      </c>
      <c r="O16" s="447"/>
      <c r="P16" s="447"/>
    </row>
    <row r="17" spans="1:16" ht="21" customHeight="1">
      <c r="A17" s="805" t="s">
        <v>52</v>
      </c>
      <c r="B17" s="816" t="s">
        <v>138</v>
      </c>
      <c r="C17" s="1040">
        <f>C18+C19+C20+C21+C22+C23+C24+C25</f>
        <v>29776509</v>
      </c>
      <c r="D17" s="1040">
        <f aca="true" t="shared" si="2" ref="D17:N17">D18+D19+D20+D21+D22+D23+D24+D25</f>
        <v>15790780</v>
      </c>
      <c r="E17" s="1040">
        <f t="shared" si="2"/>
        <v>6545423</v>
      </c>
      <c r="F17" s="1040">
        <f t="shared" si="2"/>
        <v>249111</v>
      </c>
      <c r="G17" s="1040">
        <f t="shared" si="2"/>
        <v>6296312</v>
      </c>
      <c r="H17" s="1040">
        <f t="shared" si="2"/>
        <v>7901</v>
      </c>
      <c r="I17" s="1040">
        <f t="shared" si="2"/>
        <v>3596122</v>
      </c>
      <c r="J17" s="1040">
        <f t="shared" si="2"/>
        <v>3758957</v>
      </c>
      <c r="K17" s="1040">
        <f t="shared" si="2"/>
        <v>13679</v>
      </c>
      <c r="L17" s="1040">
        <f t="shared" si="2"/>
        <v>1000</v>
      </c>
      <c r="M17" s="1040">
        <f t="shared" si="2"/>
        <v>0</v>
      </c>
      <c r="N17" s="1040">
        <f t="shared" si="2"/>
        <v>62647</v>
      </c>
      <c r="O17" s="447"/>
      <c r="P17" s="443"/>
    </row>
    <row r="18" spans="1:16" ht="21" customHeight="1">
      <c r="A18" s="428" t="s">
        <v>54</v>
      </c>
      <c r="B18" s="807" t="s">
        <v>139</v>
      </c>
      <c r="C18" s="1040">
        <f>D18+E18+H18+I18+J18+K18+L18+M18+N18</f>
        <v>14064082</v>
      </c>
      <c r="D18" s="1048">
        <f>211344+1254535+1555334+1372792+95209+1187086+362088+396348+1017009+661699+18775+0-199-206367</f>
        <v>7925653</v>
      </c>
      <c r="E18" s="1049">
        <f>F18+G18</f>
        <v>2771531</v>
      </c>
      <c r="F18" s="1050">
        <f>58264+19492+39559+33648+400+7155+1900+0</f>
        <v>160418</v>
      </c>
      <c r="G18" s="1048">
        <f>395421+409401+127376+178234+234846+348824+198276+190511+346996+160123+21105</f>
        <v>2611113</v>
      </c>
      <c r="H18" s="1048">
        <v>7901</v>
      </c>
      <c r="I18" s="1048">
        <f>12468+66159+140287+366665+154675+418288+113969+208899+135760+264986+61721</f>
        <v>1943877</v>
      </c>
      <c r="J18" s="1048">
        <f>15796+194727+60174+197063+84984+168488+372035+405293-160766</f>
        <v>1337794</v>
      </c>
      <c r="K18" s="1048">
        <v>13679</v>
      </c>
      <c r="L18" s="1048">
        <v>1000</v>
      </c>
      <c r="M18" s="1048">
        <v>0</v>
      </c>
      <c r="N18" s="1043">
        <v>62647</v>
      </c>
      <c r="O18" s="445"/>
      <c r="P18" s="413"/>
    </row>
    <row r="19" spans="1:16" ht="21" customHeight="1">
      <c r="A19" s="428" t="s">
        <v>55</v>
      </c>
      <c r="B19" s="807" t="s">
        <v>140</v>
      </c>
      <c r="C19" s="1040">
        <f aca="true" t="shared" si="3" ref="C19:C25">D19+E19+H19+I19+J19+K19+L19+M19+N19</f>
        <v>933134</v>
      </c>
      <c r="D19" s="1048">
        <f>19666+600+8826+11692+6722+4804+266080+48795</f>
        <v>367185</v>
      </c>
      <c r="E19" s="1049">
        <f aca="true" t="shared" si="4" ref="E19:E26">F19+G19</f>
        <v>144626</v>
      </c>
      <c r="F19" s="1048">
        <f>1490+5750+1250+0</f>
        <v>8490</v>
      </c>
      <c r="G19" s="1048">
        <f>13250+92803+2157+1980+20992+200+4754+0</f>
        <v>136136</v>
      </c>
      <c r="H19" s="1048">
        <v>0</v>
      </c>
      <c r="I19" s="1048">
        <f>253323+10864+12599+0</f>
        <v>276786</v>
      </c>
      <c r="J19" s="1048">
        <v>144537</v>
      </c>
      <c r="K19" s="1048">
        <v>0</v>
      </c>
      <c r="L19" s="1048">
        <v>0</v>
      </c>
      <c r="M19" s="1048">
        <v>0</v>
      </c>
      <c r="N19" s="1043">
        <v>0</v>
      </c>
      <c r="O19" s="445"/>
      <c r="P19" s="413"/>
    </row>
    <row r="20" spans="1:16" ht="21" customHeight="1">
      <c r="A20" s="428" t="s">
        <v>141</v>
      </c>
      <c r="B20" s="807" t="s">
        <v>202</v>
      </c>
      <c r="C20" s="1040">
        <f t="shared" si="3"/>
        <v>35966</v>
      </c>
      <c r="D20" s="1048">
        <f>3882+3120+8950+1906+2950+0</f>
        <v>20808</v>
      </c>
      <c r="E20" s="1049">
        <f t="shared" si="4"/>
        <v>10908</v>
      </c>
      <c r="F20" s="1048">
        <v>0</v>
      </c>
      <c r="G20" s="1048">
        <f>12315+8963+3703+5840+0-19913</f>
        <v>10908</v>
      </c>
      <c r="H20" s="1048">
        <v>0</v>
      </c>
      <c r="I20" s="1048">
        <v>4250</v>
      </c>
      <c r="J20" s="1048">
        <v>0</v>
      </c>
      <c r="K20" s="1048">
        <v>0</v>
      </c>
      <c r="L20" s="1048">
        <v>0</v>
      </c>
      <c r="M20" s="1048">
        <v>0</v>
      </c>
      <c r="N20" s="1043">
        <v>0</v>
      </c>
      <c r="O20" s="445"/>
      <c r="P20" s="413"/>
    </row>
    <row r="21" spans="1:16" ht="21.75" customHeight="1">
      <c r="A21" s="428" t="s">
        <v>143</v>
      </c>
      <c r="B21" s="807" t="s">
        <v>142</v>
      </c>
      <c r="C21" s="1040">
        <f t="shared" si="3"/>
        <v>13565958</v>
      </c>
      <c r="D21" s="1048">
        <f>487875+2504732+557713+434847+41768+420907+248970+444575+1239726+437839+5932+0+199102</f>
        <v>7023986</v>
      </c>
      <c r="E21" s="1049">
        <f t="shared" si="4"/>
        <v>3255953</v>
      </c>
      <c r="F21" s="1048">
        <f>26302+13343+12616+3440+100+5200+0</f>
        <v>61001</v>
      </c>
      <c r="G21" s="1048">
        <f>1240179+191587+252956+15772+48851+91798+276240+352133+597761+107762+0+19913</f>
        <v>3194952</v>
      </c>
      <c r="H21" s="1048">
        <v>0</v>
      </c>
      <c r="I21" s="1048">
        <f>25442+14037+630273+92376+187177+18261+21994+196352+101976+200+0+1957</f>
        <v>1290045</v>
      </c>
      <c r="J21" s="1048">
        <f>15507+55777+66724+121835+160132+165757+1210693+117833+81716</f>
        <v>1995974</v>
      </c>
      <c r="K21" s="1048">
        <v>0</v>
      </c>
      <c r="L21" s="1048">
        <v>0</v>
      </c>
      <c r="M21" s="1048">
        <v>0</v>
      </c>
      <c r="N21" s="1043">
        <v>0</v>
      </c>
      <c r="O21" s="445"/>
      <c r="P21" s="413"/>
    </row>
    <row r="22" spans="1:16" ht="21" customHeight="1">
      <c r="A22" s="428" t="s">
        <v>145</v>
      </c>
      <c r="B22" s="807" t="s">
        <v>144</v>
      </c>
      <c r="C22" s="1040">
        <f t="shared" si="3"/>
        <v>167452</v>
      </c>
      <c r="D22" s="1043">
        <f>4371+10689+1308+4918+95636+0</f>
        <v>116922</v>
      </c>
      <c r="E22" s="1049">
        <f t="shared" si="4"/>
        <v>34072</v>
      </c>
      <c r="F22" s="1043">
        <v>19200</v>
      </c>
      <c r="G22" s="1043">
        <f>1291+800+12781+0</f>
        <v>14872</v>
      </c>
      <c r="H22" s="1043">
        <v>0</v>
      </c>
      <c r="I22" s="1043">
        <f>16658+0-200</f>
        <v>16458</v>
      </c>
      <c r="J22" s="1043">
        <f>0</f>
        <v>0</v>
      </c>
      <c r="K22" s="1043">
        <v>0</v>
      </c>
      <c r="L22" s="1043">
        <v>0</v>
      </c>
      <c r="M22" s="1043">
        <v>0</v>
      </c>
      <c r="N22" s="1043">
        <v>0</v>
      </c>
      <c r="O22" s="445"/>
      <c r="P22" s="413"/>
    </row>
    <row r="23" spans="1:16" ht="21" customHeight="1">
      <c r="A23" s="428" t="s">
        <v>147</v>
      </c>
      <c r="B23" s="807" t="s">
        <v>146</v>
      </c>
      <c r="C23" s="1040">
        <f t="shared" si="3"/>
        <v>79203</v>
      </c>
      <c r="D23" s="1048">
        <f>65783+13420+0</f>
        <v>79203</v>
      </c>
      <c r="E23" s="1049">
        <f t="shared" si="4"/>
        <v>0</v>
      </c>
      <c r="F23" s="1048">
        <v>0</v>
      </c>
      <c r="G23" s="1048">
        <v>0</v>
      </c>
      <c r="H23" s="1048">
        <v>0</v>
      </c>
      <c r="I23" s="1048">
        <v>0</v>
      </c>
      <c r="J23" s="1048">
        <v>0</v>
      </c>
      <c r="K23" s="1048">
        <v>0</v>
      </c>
      <c r="L23" s="1048">
        <v>0</v>
      </c>
      <c r="M23" s="1048">
        <v>0</v>
      </c>
      <c r="N23" s="1043">
        <v>0</v>
      </c>
      <c r="O23" s="445"/>
      <c r="P23" s="413"/>
    </row>
    <row r="24" spans="1:16" ht="25.5">
      <c r="A24" s="428" t="s">
        <v>149</v>
      </c>
      <c r="B24" s="431" t="s">
        <v>148</v>
      </c>
      <c r="C24" s="1040">
        <f t="shared" si="3"/>
        <v>0</v>
      </c>
      <c r="D24" s="1048">
        <v>0</v>
      </c>
      <c r="E24" s="1049">
        <f t="shared" si="4"/>
        <v>0</v>
      </c>
      <c r="F24" s="1048">
        <v>0</v>
      </c>
      <c r="G24" s="1048">
        <v>0</v>
      </c>
      <c r="H24" s="1048">
        <v>0</v>
      </c>
      <c r="I24" s="1048">
        <v>0</v>
      </c>
      <c r="J24" s="1048">
        <v>0</v>
      </c>
      <c r="K24" s="1048">
        <v>0</v>
      </c>
      <c r="L24" s="1048">
        <v>0</v>
      </c>
      <c r="M24" s="1048">
        <v>0</v>
      </c>
      <c r="N24" s="1043">
        <v>0</v>
      </c>
      <c r="O24" s="445"/>
      <c r="P24" s="413"/>
    </row>
    <row r="25" spans="1:16" ht="21" customHeight="1">
      <c r="A25" s="428" t="s">
        <v>186</v>
      </c>
      <c r="B25" s="807" t="s">
        <v>150</v>
      </c>
      <c r="C25" s="1040">
        <f t="shared" si="3"/>
        <v>930714</v>
      </c>
      <c r="D25" s="1043">
        <f>6447+247900+2676+0</f>
        <v>257023</v>
      </c>
      <c r="E25" s="1049">
        <f t="shared" si="4"/>
        <v>328333</v>
      </c>
      <c r="F25" s="1043">
        <v>2</v>
      </c>
      <c r="G25" s="1043">
        <f>180001+148330</f>
        <v>328331</v>
      </c>
      <c r="H25" s="1043">
        <v>0</v>
      </c>
      <c r="I25" s="1043">
        <f>64706+0</f>
        <v>64706</v>
      </c>
      <c r="J25" s="1043">
        <f>212992+67660</f>
        <v>280652</v>
      </c>
      <c r="K25" s="1043">
        <v>0</v>
      </c>
      <c r="L25" s="1043">
        <v>0</v>
      </c>
      <c r="M25" s="1043">
        <v>0</v>
      </c>
      <c r="N25" s="1043">
        <v>0</v>
      </c>
      <c r="O25" s="445"/>
      <c r="P25" s="413"/>
    </row>
    <row r="26" spans="1:16" ht="21" customHeight="1">
      <c r="A26" s="805" t="s">
        <v>53</v>
      </c>
      <c r="B26" s="810" t="s">
        <v>151</v>
      </c>
      <c r="C26" s="1040">
        <f>D26+E26+H26+I26+J26+K26+L26+M26+N26</f>
        <v>11019854</v>
      </c>
      <c r="D26" s="1040">
        <f>171224+374393+547095+192937+36339+214471+109392+497624+110671+121779+49220</f>
        <v>2425145</v>
      </c>
      <c r="E26" s="1049">
        <f t="shared" si="4"/>
        <v>7850568</v>
      </c>
      <c r="F26" s="1040">
        <f>200+55170+16860+30410+107351+37495+331315+65200</f>
        <v>644001</v>
      </c>
      <c r="G26" s="1040">
        <f>98119+243501+1260669+513195+218283+237060+417576+775223+887349+1569252+1122073+0-135733</f>
        <v>7206567</v>
      </c>
      <c r="H26" s="1040">
        <v>0</v>
      </c>
      <c r="I26" s="1040">
        <f>4500+3142+200+2378+874+10994+10458+6068+61563+11129+0</f>
        <v>111306</v>
      </c>
      <c r="J26" s="1040">
        <f>12500+204840+112031+52149+8122+243193+0</f>
        <v>632835</v>
      </c>
      <c r="K26" s="1040">
        <v>0</v>
      </c>
      <c r="L26" s="1040">
        <v>0</v>
      </c>
      <c r="M26" s="1040">
        <v>0</v>
      </c>
      <c r="N26" s="1051">
        <v>0</v>
      </c>
      <c r="O26" s="447"/>
      <c r="P26" s="443"/>
    </row>
    <row r="27" spans="1:16" ht="30.75" customHeight="1">
      <c r="A27" s="452" t="s">
        <v>553</v>
      </c>
      <c r="B27" s="817" t="s">
        <v>203</v>
      </c>
      <c r="C27" s="804">
        <f>(C18+C19+C20)/C17</f>
        <v>0.5048671756652199</v>
      </c>
      <c r="D27" s="804">
        <f aca="true" t="shared" si="5" ref="D27:N27">(D18+D19+D20)/D17</f>
        <v>0.5264873552794732</v>
      </c>
      <c r="E27" s="804">
        <f t="shared" si="5"/>
        <v>0.44719264133120196</v>
      </c>
      <c r="F27" s="804">
        <f t="shared" si="5"/>
        <v>0.6780431213394832</v>
      </c>
      <c r="G27" s="804">
        <f t="shared" si="5"/>
        <v>0.43805913684074105</v>
      </c>
      <c r="H27" s="804">
        <f t="shared" si="5"/>
        <v>1</v>
      </c>
      <c r="I27" s="804">
        <f t="shared" si="5"/>
        <v>0.6186978639768062</v>
      </c>
      <c r="J27" s="804">
        <f t="shared" si="5"/>
        <v>0.39434635724750244</v>
      </c>
      <c r="K27" s="804">
        <f t="shared" si="5"/>
        <v>1</v>
      </c>
      <c r="L27" s="804">
        <f t="shared" si="5"/>
        <v>1</v>
      </c>
      <c r="M27" s="804" t="e">
        <f t="shared" si="5"/>
        <v>#DIV/0!</v>
      </c>
      <c r="N27" s="804">
        <f t="shared" si="5"/>
        <v>1</v>
      </c>
      <c r="O27" s="445"/>
      <c r="P27" s="413"/>
    </row>
    <row r="28" spans="3:14" ht="15">
      <c r="C28" s="821">
        <f>C26+C17+C14-C11</f>
        <v>0</v>
      </c>
      <c r="D28" s="821">
        <f aca="true" t="shared" si="6" ref="D28:N28">D26+D17+D14-D11</f>
        <v>0</v>
      </c>
      <c r="E28" s="821">
        <f t="shared" si="6"/>
        <v>0</v>
      </c>
      <c r="F28" s="821">
        <f t="shared" si="6"/>
        <v>0</v>
      </c>
      <c r="G28" s="821">
        <f t="shared" si="6"/>
        <v>0</v>
      </c>
      <c r="H28" s="821">
        <f t="shared" si="6"/>
        <v>0</v>
      </c>
      <c r="I28" s="821">
        <f t="shared" si="6"/>
        <v>0</v>
      </c>
      <c r="J28" s="821">
        <f t="shared" si="6"/>
        <v>0</v>
      </c>
      <c r="K28" s="821">
        <f t="shared" si="6"/>
        <v>0</v>
      </c>
      <c r="L28" s="821">
        <f t="shared" si="6"/>
        <v>0</v>
      </c>
      <c r="M28" s="821">
        <f t="shared" si="6"/>
        <v>0</v>
      </c>
      <c r="N28" s="821">
        <f t="shared" si="6"/>
        <v>0</v>
      </c>
    </row>
    <row r="29" ht="15"/>
    <row r="30" ht="15">
      <c r="D30" s="821"/>
    </row>
  </sheetData>
  <sheetProtection/>
  <mergeCells count="26">
    <mergeCell ref="K1:N1"/>
    <mergeCell ref="K2:N2"/>
    <mergeCell ref="K3:N3"/>
    <mergeCell ref="K4:N4"/>
    <mergeCell ref="K5:N5"/>
    <mergeCell ref="O8:P8"/>
    <mergeCell ref="D2:I2"/>
    <mergeCell ref="D3:I3"/>
    <mergeCell ref="D6:N6"/>
    <mergeCell ref="J7:J9"/>
    <mergeCell ref="L7:L9"/>
    <mergeCell ref="N7:N9"/>
    <mergeCell ref="K7:K9"/>
    <mergeCell ref="M7:M9"/>
    <mergeCell ref="A10:B10"/>
    <mergeCell ref="H7:H9"/>
    <mergeCell ref="I7:I9"/>
    <mergeCell ref="F8:G8"/>
    <mergeCell ref="D7:D9"/>
    <mergeCell ref="E7:G7"/>
    <mergeCell ref="E8:E9"/>
    <mergeCell ref="A1:B1"/>
    <mergeCell ref="A2:C2"/>
    <mergeCell ref="A3:B3"/>
    <mergeCell ref="A6:B9"/>
    <mergeCell ref="C6:C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D43"/>
  <sheetViews>
    <sheetView showZeros="0" view="pageBreakPreview" zoomScaleNormal="80" zoomScaleSheetLayoutView="100" zoomScalePageLayoutView="0" workbookViewId="0" topLeftCell="A10">
      <selection activeCell="C26" sqref="C26"/>
    </sheetView>
  </sheetViews>
  <sheetFormatPr defaultColWidth="9.00390625" defaultRowHeight="15.75"/>
  <cols>
    <col min="1" max="1" width="4.25390625" style="421" customWidth="1"/>
    <col min="2" max="2" width="60.00390625" style="421" customWidth="1"/>
    <col min="3" max="3" width="69.875" style="421" customWidth="1"/>
    <col min="4" max="16384" width="9.00390625" style="421" customWidth="1"/>
  </cols>
  <sheetData>
    <row r="1" spans="1:3" s="434" customFormat="1" ht="30.75" customHeight="1">
      <c r="A1" s="1531" t="s">
        <v>205</v>
      </c>
      <c r="B1" s="1532"/>
      <c r="C1" s="1532"/>
    </row>
    <row r="2" spans="1:3" s="437" customFormat="1" ht="14.25" customHeight="1">
      <c r="A2" s="1522" t="s">
        <v>70</v>
      </c>
      <c r="B2" s="1523"/>
      <c r="C2" s="836" t="s">
        <v>770</v>
      </c>
    </row>
    <row r="3" spans="1:3" s="437" customFormat="1" ht="12.75" customHeight="1">
      <c r="A3" s="1522" t="s">
        <v>6</v>
      </c>
      <c r="B3" s="1523"/>
      <c r="C3" s="435">
        <v>1</v>
      </c>
    </row>
    <row r="4" spans="1:4" ht="14.25" customHeight="1">
      <c r="A4" s="828" t="s">
        <v>52</v>
      </c>
      <c r="B4" s="829" t="s">
        <v>567</v>
      </c>
      <c r="C4" s="826">
        <f>'03'!C22</f>
        <v>167452</v>
      </c>
      <c r="D4" s="834">
        <f>C5+C6+C7+C9+C8+C10+C11-C4</f>
        <v>0</v>
      </c>
    </row>
    <row r="5" spans="1:4" s="26" customFormat="1" ht="15" customHeight="1">
      <c r="A5" s="435" t="s">
        <v>54</v>
      </c>
      <c r="B5" s="830" t="s">
        <v>153</v>
      </c>
      <c r="C5" s="1020">
        <f>57699+1308+0</f>
        <v>59007</v>
      </c>
      <c r="D5" s="818"/>
    </row>
    <row r="6" spans="1:4" s="26" customFormat="1" ht="13.5" customHeight="1">
      <c r="A6" s="435" t="s">
        <v>55</v>
      </c>
      <c r="B6" s="830" t="s">
        <v>154</v>
      </c>
      <c r="C6" s="1020">
        <f>12781+24862+0</f>
        <v>37643</v>
      </c>
      <c r="D6" s="818"/>
    </row>
    <row r="7" spans="1:4" s="26" customFormat="1" ht="14.25" customHeight="1">
      <c r="A7" s="435" t="s">
        <v>141</v>
      </c>
      <c r="B7" s="830" t="s">
        <v>155</v>
      </c>
      <c r="C7" s="1020">
        <f>37937+5718+16658+10689+0-200</f>
        <v>70802</v>
      </c>
      <c r="D7" s="818"/>
    </row>
    <row r="8" spans="1:4" s="26" customFormat="1" ht="14.25" customHeight="1">
      <c r="A8" s="435" t="s">
        <v>143</v>
      </c>
      <c r="B8" s="830" t="s">
        <v>156</v>
      </c>
      <c r="C8" s="1020">
        <v>0</v>
      </c>
      <c r="D8" s="818"/>
    </row>
    <row r="9" spans="1:4" s="26" customFormat="1" ht="15" customHeight="1">
      <c r="A9" s="435" t="s">
        <v>145</v>
      </c>
      <c r="B9" s="830" t="s">
        <v>157</v>
      </c>
      <c r="C9" s="1020">
        <v>0</v>
      </c>
      <c r="D9" s="818"/>
    </row>
    <row r="10" spans="1:4" s="26" customFormat="1" ht="15" customHeight="1">
      <c r="A10" s="435" t="s">
        <v>147</v>
      </c>
      <c r="B10" s="830" t="s">
        <v>158</v>
      </c>
      <c r="C10" s="1020">
        <v>0</v>
      </c>
      <c r="D10" s="818"/>
    </row>
    <row r="11" spans="1:4" s="26" customFormat="1" ht="15" customHeight="1">
      <c r="A11" s="435" t="s">
        <v>149</v>
      </c>
      <c r="B11" s="830" t="s">
        <v>160</v>
      </c>
      <c r="C11" s="1020">
        <v>0</v>
      </c>
      <c r="D11" s="818"/>
    </row>
    <row r="12" spans="1:4" s="438" customFormat="1" ht="13.5" customHeight="1">
      <c r="A12" s="828" t="s">
        <v>53</v>
      </c>
      <c r="B12" s="829" t="s">
        <v>563</v>
      </c>
      <c r="C12" s="1019">
        <f>'03'!C23</f>
        <v>79203</v>
      </c>
      <c r="D12" s="833">
        <f>C13+C14-C12</f>
        <v>0</v>
      </c>
    </row>
    <row r="13" spans="1:4" s="26" customFormat="1" ht="15" customHeight="1">
      <c r="A13" s="435" t="s">
        <v>56</v>
      </c>
      <c r="B13" s="830" t="s">
        <v>159</v>
      </c>
      <c r="C13" s="1020">
        <v>79203</v>
      </c>
      <c r="D13" s="818"/>
    </row>
    <row r="14" spans="1:4" ht="15" customHeight="1">
      <c r="A14" s="435" t="s">
        <v>57</v>
      </c>
      <c r="B14" s="830" t="s">
        <v>160</v>
      </c>
      <c r="C14" s="1020">
        <v>0</v>
      </c>
      <c r="D14" s="834"/>
    </row>
    <row r="15" spans="1:4" ht="14.25" customHeight="1">
      <c r="A15" s="828" t="s">
        <v>58</v>
      </c>
      <c r="B15" s="837" t="s">
        <v>150</v>
      </c>
      <c r="C15" s="1019">
        <f>'03'!C25</f>
        <v>930714</v>
      </c>
      <c r="D15" s="834">
        <f>C16+C17+C18-C15</f>
        <v>0</v>
      </c>
    </row>
    <row r="16" spans="1:4" ht="15" customHeight="1">
      <c r="A16" s="435" t="s">
        <v>161</v>
      </c>
      <c r="B16" s="830" t="s">
        <v>189</v>
      </c>
      <c r="C16" s="1020">
        <f>153906+330606+3679+0</f>
        <v>488191</v>
      </c>
      <c r="D16" s="834"/>
    </row>
    <row r="17" spans="1:4" s="26" customFormat="1" ht="15">
      <c r="A17" s="435" t="s">
        <v>163</v>
      </c>
      <c r="B17" s="830" t="s">
        <v>164</v>
      </c>
      <c r="C17" s="1020">
        <f>68531+0</f>
        <v>68531</v>
      </c>
      <c r="D17" s="818"/>
    </row>
    <row r="18" spans="1:4" s="26" customFormat="1" ht="16.5" customHeight="1">
      <c r="A18" s="435" t="s">
        <v>165</v>
      </c>
      <c r="B18" s="830" t="s">
        <v>166</v>
      </c>
      <c r="C18" s="1020">
        <f>212992+66724+0+94276</f>
        <v>373992</v>
      </c>
      <c r="D18" s="818"/>
    </row>
    <row r="19" spans="1:4" s="26" customFormat="1" ht="14.25" customHeight="1">
      <c r="A19" s="828" t="s">
        <v>73</v>
      </c>
      <c r="B19" s="829" t="s">
        <v>568</v>
      </c>
      <c r="C19" s="1019">
        <f>'03'!C19</f>
        <v>933134</v>
      </c>
      <c r="D19" s="818">
        <f>C20+C21+C22+C23+C24+C25-C19</f>
        <v>0</v>
      </c>
    </row>
    <row r="20" spans="1:4" s="26" customFormat="1" ht="15.75" customHeight="1">
      <c r="A20" s="435" t="s">
        <v>167</v>
      </c>
      <c r="B20" s="830" t="s">
        <v>168</v>
      </c>
      <c r="C20" s="1020">
        <f>43343+253523+8100+2679+2344+1150+45933+0</f>
        <v>357072</v>
      </c>
      <c r="D20" s="818"/>
    </row>
    <row r="21" spans="1:4" s="26" customFormat="1" ht="15" customHeight="1">
      <c r="A21" s="435" t="s">
        <v>169</v>
      </c>
      <c r="B21" s="830" t="s">
        <v>170</v>
      </c>
      <c r="C21" s="1020">
        <v>6842</v>
      </c>
      <c r="D21" s="818"/>
    </row>
    <row r="22" spans="1:4" s="26" customFormat="1" ht="15.75" customHeight="1">
      <c r="A22" s="435" t="s">
        <v>171</v>
      </c>
      <c r="B22" s="830" t="s">
        <v>172</v>
      </c>
      <c r="C22" s="1020">
        <f>5452+0</f>
        <v>5452</v>
      </c>
      <c r="D22" s="818"/>
    </row>
    <row r="23" spans="1:4" s="26" customFormat="1" ht="15.75" customHeight="1">
      <c r="A23" s="435" t="s">
        <v>173</v>
      </c>
      <c r="B23" s="830" t="s">
        <v>156</v>
      </c>
      <c r="C23" s="1020">
        <v>0</v>
      </c>
      <c r="D23" s="818"/>
    </row>
    <row r="24" spans="1:4" s="26" customFormat="1" ht="15.75" customHeight="1">
      <c r="A24" s="435" t="s">
        <v>174</v>
      </c>
      <c r="B24" s="830" t="s">
        <v>204</v>
      </c>
      <c r="C24" s="1020">
        <f>4754+49723+17111+2157+118584+0</f>
        <v>192329</v>
      </c>
      <c r="D24" s="818"/>
    </row>
    <row r="25" spans="1:4" s="26" customFormat="1" ht="15.75" customHeight="1">
      <c r="A25" s="435" t="s">
        <v>175</v>
      </c>
      <c r="B25" s="830" t="s">
        <v>176</v>
      </c>
      <c r="C25" s="1020">
        <v>371439</v>
      </c>
      <c r="D25" s="818"/>
    </row>
    <row r="26" spans="1:4" s="26" customFormat="1" ht="15.75" customHeight="1">
      <c r="A26" s="828" t="s">
        <v>74</v>
      </c>
      <c r="B26" s="829" t="s">
        <v>566</v>
      </c>
      <c r="C26" s="1019">
        <f>'03'!C26</f>
        <v>11019854</v>
      </c>
      <c r="D26" s="818">
        <f>C27+C28+C29-C26</f>
        <v>0</v>
      </c>
    </row>
    <row r="27" spans="1:4" s="26" customFormat="1" ht="14.25" customHeight="1">
      <c r="A27" s="435" t="s">
        <v>177</v>
      </c>
      <c r="B27" s="830" t="s">
        <v>168</v>
      </c>
      <c r="C27" s="1020">
        <f>982642+2348232+1441054+1193610+546932+479385+328549+1013197+1379005+611815+151839+0-79906</f>
        <v>10396354</v>
      </c>
      <c r="D27" s="818"/>
    </row>
    <row r="28" spans="1:4" ht="14.25" customHeight="1">
      <c r="A28" s="435" t="s">
        <v>178</v>
      </c>
      <c r="B28" s="830" t="s">
        <v>170</v>
      </c>
      <c r="C28" s="1020">
        <v>7998</v>
      </c>
      <c r="D28" s="834"/>
    </row>
    <row r="29" spans="1:4" s="26" customFormat="1" ht="15" customHeight="1" thickBot="1">
      <c r="A29" s="831" t="s">
        <v>179</v>
      </c>
      <c r="B29" s="832" t="s">
        <v>180</v>
      </c>
      <c r="C29" s="1052">
        <f>388355+142697+84450+0</f>
        <v>615502</v>
      </c>
      <c r="D29" s="818"/>
    </row>
    <row r="30" spans="1:3" s="437" customFormat="1" ht="17.25" customHeight="1" thickTop="1">
      <c r="A30" s="1530"/>
      <c r="B30" s="1530"/>
      <c r="C30" s="884" t="str">
        <f>'Thong tin'!B9</f>
        <v>Bình Thuận, ngày 04 tháng 10 năm 2016</v>
      </c>
    </row>
    <row r="31" spans="1:3" s="437" customFormat="1" ht="15.75" customHeight="1">
      <c r="A31" s="1518" t="s">
        <v>181</v>
      </c>
      <c r="B31" s="1518"/>
      <c r="C31" s="886" t="str">
        <f>'Thong tin'!B7</f>
        <v>KT. CỤC TRƯỞNG</v>
      </c>
    </row>
    <row r="32" spans="1:3" s="456" customFormat="1" ht="16.5">
      <c r="A32" s="887"/>
      <c r="B32" s="888"/>
      <c r="C32" s="885" t="str">
        <f>'Thong tin'!B8</f>
        <v>PHÓ CỤC TRƯỞNG</v>
      </c>
    </row>
    <row r="33" spans="1:3" s="437" customFormat="1" ht="15.75" customHeight="1">
      <c r="A33" s="887"/>
      <c r="B33" s="889"/>
      <c r="C33" s="887"/>
    </row>
    <row r="34" spans="1:3" s="437" customFormat="1" ht="15.75" customHeight="1">
      <c r="A34" s="887"/>
      <c r="B34" s="889"/>
      <c r="C34" s="887"/>
    </row>
    <row r="35" spans="1:3" s="437" customFormat="1" ht="12" customHeight="1">
      <c r="A35" s="887"/>
      <c r="B35" s="890"/>
      <c r="C35" s="891"/>
    </row>
    <row r="36" spans="1:3" s="437" customFormat="1" ht="11.25" customHeight="1">
      <c r="A36" s="887"/>
      <c r="B36" s="889"/>
      <c r="C36" s="887"/>
    </row>
    <row r="37" spans="1:3" s="437" customFormat="1" ht="16.5" hidden="1">
      <c r="A37" s="892" t="s">
        <v>47</v>
      </c>
      <c r="B37" s="887"/>
      <c r="C37" s="887"/>
    </row>
    <row r="38" spans="1:3" s="437" customFormat="1" ht="16.5" hidden="1">
      <c r="A38" s="887"/>
      <c r="B38" s="887" t="s">
        <v>50</v>
      </c>
      <c r="C38" s="887"/>
    </row>
    <row r="39" spans="1:3" s="437" customFormat="1" ht="16.5" hidden="1">
      <c r="A39" s="887"/>
      <c r="B39" s="887" t="s">
        <v>64</v>
      </c>
      <c r="C39" s="887"/>
    </row>
    <row r="40" spans="1:3" s="437" customFormat="1" ht="16.5" hidden="1">
      <c r="A40" s="887"/>
      <c r="B40" s="887" t="s">
        <v>62</v>
      </c>
      <c r="C40" s="887"/>
    </row>
    <row r="41" spans="1:3" s="437" customFormat="1" ht="16.5" hidden="1">
      <c r="A41" s="887"/>
      <c r="B41" s="887" t="s">
        <v>65</v>
      </c>
      <c r="C41" s="887"/>
    </row>
    <row r="42" spans="1:3" s="437" customFormat="1" ht="16.5">
      <c r="A42" s="887"/>
      <c r="B42" s="887"/>
      <c r="C42" s="887"/>
    </row>
    <row r="43" spans="1:3" s="437" customFormat="1" ht="16.5">
      <c r="A43" s="1518" t="str">
        <f>'Thong tin'!B5</f>
        <v>Trần Quốc Bảo</v>
      </c>
      <c r="B43" s="1518"/>
      <c r="C43" s="885" t="str">
        <f>'Thong tin'!B6</f>
        <v>Trần Nam</v>
      </c>
    </row>
  </sheetData>
  <sheetProtection/>
  <mergeCells count="6">
    <mergeCell ref="A30:B30"/>
    <mergeCell ref="A31:B31"/>
    <mergeCell ref="A43:B43"/>
    <mergeCell ref="A1:C1"/>
    <mergeCell ref="A2:B2"/>
    <mergeCell ref="A3:B3"/>
  </mergeCells>
  <printOptions/>
  <pageMargins left="0" right="0" top="0" bottom="0" header="0.5" footer="0.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Normal="85" zoomScaleSheetLayoutView="100" zoomScalePageLayoutView="0" workbookViewId="0" topLeftCell="A13">
      <selection activeCell="J13" sqref="J13"/>
    </sheetView>
  </sheetViews>
  <sheetFormatPr defaultColWidth="9.00390625" defaultRowHeight="15.75"/>
  <cols>
    <col min="1" max="1" width="3.625" style="434" customWidth="1"/>
    <col min="2" max="2" width="19.75390625" style="388" customWidth="1"/>
    <col min="3" max="3" width="10.625" style="388" customWidth="1"/>
    <col min="4" max="4" width="10.125" style="388" customWidth="1"/>
    <col min="5" max="5" width="9.625" style="388" customWidth="1"/>
    <col min="6" max="6" width="7.25390625" style="388" customWidth="1"/>
    <col min="7" max="7" width="9.625" style="388" customWidth="1"/>
    <col min="8" max="8" width="7.625" style="388" customWidth="1"/>
    <col min="9" max="9" width="9.25390625" style="388" customWidth="1"/>
    <col min="10" max="10" width="9.75390625" style="388" customWidth="1"/>
    <col min="11" max="11" width="8.125" style="388" customWidth="1"/>
    <col min="12" max="12" width="7.75390625" style="388" customWidth="1"/>
    <col min="13" max="13" width="7.50390625" style="388" customWidth="1"/>
    <col min="14" max="14" width="6.625" style="388" customWidth="1"/>
    <col min="15" max="15" width="7.25390625" style="388" customWidth="1"/>
    <col min="16" max="16" width="13.50390625" style="388" bestFit="1" customWidth="1"/>
    <col min="17" max="16384" width="9.00390625" style="388" customWidth="1"/>
  </cols>
  <sheetData>
    <row r="1" spans="1:17" ht="24.75" customHeight="1">
      <c r="A1" s="1476" t="s">
        <v>32</v>
      </c>
      <c r="B1" s="1476"/>
      <c r="C1" s="414"/>
      <c r="D1" s="1477" t="s">
        <v>194</v>
      </c>
      <c r="E1" s="1477"/>
      <c r="F1" s="1477"/>
      <c r="G1" s="1477"/>
      <c r="H1" s="1477"/>
      <c r="I1" s="1477"/>
      <c r="J1" s="1477"/>
      <c r="K1" s="1477"/>
      <c r="L1" s="1478" t="s">
        <v>555</v>
      </c>
      <c r="M1" s="1478"/>
      <c r="N1" s="1478"/>
      <c r="O1" s="1478"/>
      <c r="P1" s="413"/>
      <c r="Q1" s="413"/>
    </row>
    <row r="2" spans="1:17" ht="16.5" customHeight="1">
      <c r="A2" s="1526" t="s">
        <v>342</v>
      </c>
      <c r="B2" s="1526"/>
      <c r="C2" s="1526"/>
      <c r="D2" s="1477" t="s">
        <v>183</v>
      </c>
      <c r="E2" s="1477"/>
      <c r="F2" s="1477"/>
      <c r="G2" s="1477"/>
      <c r="H2" s="1477"/>
      <c r="I2" s="1477"/>
      <c r="J2" s="1477"/>
      <c r="K2" s="1477"/>
      <c r="L2" s="1479" t="str">
        <f>'Thong tin'!B4</f>
        <v>Cục THADS tỉnh Bình Thuận</v>
      </c>
      <c r="M2" s="1479"/>
      <c r="N2" s="1479"/>
      <c r="O2" s="1479"/>
      <c r="P2" s="413"/>
      <c r="Q2" s="422"/>
    </row>
    <row r="3" spans="1:17" ht="16.5" customHeight="1">
      <c r="A3" s="1526" t="s">
        <v>343</v>
      </c>
      <c r="B3" s="1526"/>
      <c r="C3" s="413"/>
      <c r="D3" s="1480" t="str">
        <f>'Thong tin'!B3</f>
        <v>12 tháng / năm 2016</v>
      </c>
      <c r="E3" s="1480"/>
      <c r="F3" s="1480"/>
      <c r="G3" s="1480"/>
      <c r="H3" s="1480"/>
      <c r="I3" s="1480"/>
      <c r="J3" s="1480"/>
      <c r="K3" s="1480"/>
      <c r="L3" s="1478" t="s">
        <v>521</v>
      </c>
      <c r="M3" s="1478"/>
      <c r="N3" s="1478"/>
      <c r="O3" s="1478"/>
      <c r="P3" s="413"/>
      <c r="Q3" s="445"/>
    </row>
    <row r="4" spans="1:17" ht="16.5" customHeight="1">
      <c r="A4" s="416" t="s">
        <v>119</v>
      </c>
      <c r="B4" s="417"/>
      <c r="C4" s="418"/>
      <c r="D4" s="419"/>
      <c r="E4" s="419"/>
      <c r="F4" s="418"/>
      <c r="G4" s="420"/>
      <c r="H4" s="420"/>
      <c r="I4" s="420"/>
      <c r="J4" s="418"/>
      <c r="K4" s="419"/>
      <c r="L4" s="1479" t="s">
        <v>410</v>
      </c>
      <c r="M4" s="1479"/>
      <c r="N4" s="1479"/>
      <c r="O4" s="1479"/>
      <c r="P4" s="413"/>
      <c r="Q4" s="445"/>
    </row>
    <row r="5" spans="1:17" ht="16.5" customHeight="1">
      <c r="A5" s="421"/>
      <c r="B5" s="418"/>
      <c r="C5" s="418"/>
      <c r="D5" s="418"/>
      <c r="E5" s="418"/>
      <c r="F5" s="422"/>
      <c r="G5" s="423"/>
      <c r="H5" s="423"/>
      <c r="I5" s="423"/>
      <c r="J5" s="422"/>
      <c r="K5" s="424"/>
      <c r="L5" s="424"/>
      <c r="M5" s="424" t="s">
        <v>195</v>
      </c>
      <c r="N5" s="457"/>
      <c r="O5" s="413"/>
      <c r="P5" s="413"/>
      <c r="Q5" s="445"/>
    </row>
    <row r="6" spans="1:17" ht="18.75" customHeight="1">
      <c r="A6" s="1490" t="s">
        <v>69</v>
      </c>
      <c r="B6" s="1491"/>
      <c r="C6" s="1496" t="s">
        <v>38</v>
      </c>
      <c r="D6" s="1496" t="s">
        <v>337</v>
      </c>
      <c r="E6" s="1498"/>
      <c r="F6" s="1498"/>
      <c r="G6" s="1498"/>
      <c r="H6" s="1498"/>
      <c r="I6" s="1498"/>
      <c r="J6" s="1498"/>
      <c r="K6" s="1498"/>
      <c r="L6" s="1498"/>
      <c r="M6" s="1498"/>
      <c r="N6" s="1498"/>
      <c r="O6" s="1499"/>
      <c r="P6" s="443"/>
      <c r="Q6" s="447"/>
    </row>
    <row r="7" spans="1:17" ht="20.25" customHeight="1">
      <c r="A7" s="1492"/>
      <c r="B7" s="1493"/>
      <c r="C7" s="1497"/>
      <c r="D7" s="1500" t="s">
        <v>120</v>
      </c>
      <c r="E7" s="1502" t="s">
        <v>121</v>
      </c>
      <c r="F7" s="1503"/>
      <c r="G7" s="1504"/>
      <c r="H7" s="1482" t="s">
        <v>122</v>
      </c>
      <c r="I7" s="1482" t="s">
        <v>123</v>
      </c>
      <c r="J7" s="1482" t="s">
        <v>199</v>
      </c>
      <c r="K7" s="1482" t="s">
        <v>125</v>
      </c>
      <c r="L7" s="1482" t="s">
        <v>126</v>
      </c>
      <c r="M7" s="1482" t="s">
        <v>127</v>
      </c>
      <c r="N7" s="1482" t="s">
        <v>184</v>
      </c>
      <c r="O7" s="1482" t="s">
        <v>128</v>
      </c>
      <c r="P7" s="445"/>
      <c r="Q7" s="445"/>
    </row>
    <row r="8" spans="1:17" ht="21.75" customHeight="1">
      <c r="A8" s="1492"/>
      <c r="B8" s="1493"/>
      <c r="C8" s="1497"/>
      <c r="D8" s="1500"/>
      <c r="E8" s="1489" t="s">
        <v>37</v>
      </c>
      <c r="F8" s="1484" t="s">
        <v>7</v>
      </c>
      <c r="G8" s="1485"/>
      <c r="H8" s="1482"/>
      <c r="I8" s="1482"/>
      <c r="J8" s="1482"/>
      <c r="K8" s="1482"/>
      <c r="L8" s="1482"/>
      <c r="M8" s="1482"/>
      <c r="N8" s="1482"/>
      <c r="O8" s="1482"/>
      <c r="P8" s="1529"/>
      <c r="Q8" s="1529"/>
    </row>
    <row r="9" spans="1:17" ht="21.75" customHeight="1">
      <c r="A9" s="1494"/>
      <c r="B9" s="1495"/>
      <c r="C9" s="1497"/>
      <c r="D9" s="1501"/>
      <c r="E9" s="1483"/>
      <c r="F9" s="509" t="s">
        <v>200</v>
      </c>
      <c r="G9" s="510" t="s">
        <v>201</v>
      </c>
      <c r="H9" s="1483"/>
      <c r="I9" s="1483"/>
      <c r="J9" s="1483"/>
      <c r="K9" s="1483"/>
      <c r="L9" s="1483"/>
      <c r="M9" s="1483"/>
      <c r="N9" s="1483"/>
      <c r="O9" s="1483"/>
      <c r="P9" s="448"/>
      <c r="Q9" s="448"/>
    </row>
    <row r="10" spans="1:17" s="393" customFormat="1" ht="16.5" customHeight="1">
      <c r="A10" s="1533" t="s">
        <v>40</v>
      </c>
      <c r="B10" s="1534"/>
      <c r="C10" s="1013">
        <v>1</v>
      </c>
      <c r="D10" s="1013">
        <v>2</v>
      </c>
      <c r="E10" s="1013">
        <v>3</v>
      </c>
      <c r="F10" s="1013">
        <v>4</v>
      </c>
      <c r="G10" s="1013">
        <v>5</v>
      </c>
      <c r="H10" s="1013">
        <v>6</v>
      </c>
      <c r="I10" s="1013">
        <v>7</v>
      </c>
      <c r="J10" s="1013">
        <v>8</v>
      </c>
      <c r="K10" s="1013">
        <v>9</v>
      </c>
      <c r="L10" s="1013">
        <v>10</v>
      </c>
      <c r="M10" s="1013">
        <v>11</v>
      </c>
      <c r="N10" s="1013">
        <v>12</v>
      </c>
      <c r="O10" s="1013">
        <v>13</v>
      </c>
      <c r="P10" s="458"/>
      <c r="Q10" s="458"/>
    </row>
    <row r="11" spans="1:17" ht="21" customHeight="1">
      <c r="A11" s="425" t="s">
        <v>0</v>
      </c>
      <c r="B11" s="815" t="s">
        <v>131</v>
      </c>
      <c r="C11" s="1053">
        <f>C12+C13</f>
        <v>1312577025</v>
      </c>
      <c r="D11" s="1053">
        <f aca="true" t="shared" si="0" ref="D11:O11">D12+D13</f>
        <v>837365419</v>
      </c>
      <c r="E11" s="1053">
        <f t="shared" si="0"/>
        <v>42664440</v>
      </c>
      <c r="F11" s="1053">
        <f t="shared" si="0"/>
        <v>11210</v>
      </c>
      <c r="G11" s="1053">
        <f t="shared" si="0"/>
        <v>42653230</v>
      </c>
      <c r="H11" s="1053">
        <f t="shared" si="0"/>
        <v>400000</v>
      </c>
      <c r="I11" s="1053">
        <f t="shared" si="0"/>
        <v>23397972</v>
      </c>
      <c r="J11" s="1053">
        <f t="shared" si="0"/>
        <v>404003887</v>
      </c>
      <c r="K11" s="1053">
        <f t="shared" si="0"/>
        <v>847073</v>
      </c>
      <c r="L11" s="1053">
        <f t="shared" si="0"/>
        <v>3074589</v>
      </c>
      <c r="M11" s="1053">
        <f t="shared" si="0"/>
        <v>823645</v>
      </c>
      <c r="N11" s="1053">
        <f t="shared" si="0"/>
        <v>0</v>
      </c>
      <c r="O11" s="1053">
        <f t="shared" si="0"/>
        <v>0</v>
      </c>
      <c r="P11" s="839">
        <f>P12+P13</f>
        <v>1354210013</v>
      </c>
      <c r="Q11" s="447"/>
    </row>
    <row r="12" spans="1:17" ht="21" customHeight="1">
      <c r="A12" s="428">
        <v>1</v>
      </c>
      <c r="B12" s="807" t="s">
        <v>132</v>
      </c>
      <c r="C12" s="1053">
        <f>D12+E12+H12+I12+J12+K12+L12+M12+N12+O12</f>
        <v>818876963</v>
      </c>
      <c r="D12" s="1054">
        <f>36878702+287858675+75141287+28438566+26105698+16725996+2871754+55035014+52748909+6618960+1756416+0-48653203</f>
        <v>541526774</v>
      </c>
      <c r="E12" s="1055">
        <f>F12+G12</f>
        <v>23241571</v>
      </c>
      <c r="F12" s="1054">
        <v>3600</v>
      </c>
      <c r="G12" s="1054">
        <f>28359+285578+124619+3672248+113849+709514+430341+734672+1284372+1850950+14094469+0-91000</f>
        <v>23237971</v>
      </c>
      <c r="H12" s="1054">
        <v>400000</v>
      </c>
      <c r="I12" s="1054">
        <f>46000+4235491+618157+428463+565916+1028923+341752+1855409+40000+265015+35200</f>
        <v>9460326</v>
      </c>
      <c r="J12" s="1054">
        <f>0+24794070+25503761+26409156+3223080+4659699+10327594+185329675+30485616-23767979+47626958-94141865</f>
        <v>240449765</v>
      </c>
      <c r="K12" s="1054">
        <v>515017</v>
      </c>
      <c r="L12" s="1054">
        <v>3074589</v>
      </c>
      <c r="M12" s="1054">
        <v>208921</v>
      </c>
      <c r="N12" s="1056">
        <v>0</v>
      </c>
      <c r="O12" s="1056">
        <v>0</v>
      </c>
      <c r="P12" s="840">
        <f>C12+'03'!C12</f>
        <v>841089114</v>
      </c>
      <c r="Q12" s="445"/>
    </row>
    <row r="13" spans="1:17" ht="21" customHeight="1">
      <c r="A13" s="428">
        <v>2</v>
      </c>
      <c r="B13" s="807" t="s">
        <v>133</v>
      </c>
      <c r="C13" s="1053">
        <f>D13+E13+H13+I13+J13+K13+L13+M13+N13+O13</f>
        <v>493700062</v>
      </c>
      <c r="D13" s="1056">
        <f>51205196+53849162+39021699+34440394+17072886+28348160+9617128+14422870+28704456+19078594+78100</f>
        <v>295838645</v>
      </c>
      <c r="E13" s="1055">
        <f>F13+G13</f>
        <v>19422869</v>
      </c>
      <c r="F13" s="1056">
        <v>7610</v>
      </c>
      <c r="G13" s="1056">
        <f>9350511+2590121+1723504+736413+1086068+583440+415628+1097549+1225708+606317+0</f>
        <v>19415259</v>
      </c>
      <c r="H13" s="1056">
        <v>0</v>
      </c>
      <c r="I13" s="1056">
        <f>2551660+1983208+1378860+1061307+1981919+491971+3143147+1138174+163400+44000</f>
        <v>13937646</v>
      </c>
      <c r="J13" s="1056">
        <f>103949382+35984308+6481671+524495+3709859+5314100+12510666+2913099+208906+0-8042364</f>
        <v>163554122</v>
      </c>
      <c r="K13" s="1056">
        <v>332056</v>
      </c>
      <c r="L13" s="1056">
        <v>0</v>
      </c>
      <c r="M13" s="1056">
        <v>614724</v>
      </c>
      <c r="N13" s="1056">
        <v>0</v>
      </c>
      <c r="O13" s="1056">
        <v>0</v>
      </c>
      <c r="P13" s="840">
        <f>C13+'03'!C13</f>
        <v>513120899</v>
      </c>
      <c r="Q13" s="445"/>
    </row>
    <row r="14" spans="1:17" ht="21" customHeight="1">
      <c r="A14" s="808" t="s">
        <v>1</v>
      </c>
      <c r="B14" s="809" t="s">
        <v>134</v>
      </c>
      <c r="C14" s="1057">
        <f>D14+E14+H14+I14+J14+K14+L14+M14+N14+O14</f>
        <v>47813197</v>
      </c>
      <c r="D14" s="1058">
        <f>1300000+24049669+1388926+150000+826100+253788+10751815+137660</f>
        <v>38857958</v>
      </c>
      <c r="E14" s="1059">
        <f>F14+G14</f>
        <v>3464088</v>
      </c>
      <c r="F14" s="1058">
        <v>0</v>
      </c>
      <c r="G14" s="1058">
        <f>56000+280934+100318+100445+6500+198500+250985+1115120+1030307+324979</f>
        <v>3464088</v>
      </c>
      <c r="H14" s="1058">
        <v>0</v>
      </c>
      <c r="I14" s="1058">
        <f>60000+6000+25000+6000+39500+0</f>
        <v>136500</v>
      </c>
      <c r="J14" s="1058">
        <v>5354651</v>
      </c>
      <c r="K14" s="1058">
        <v>0</v>
      </c>
      <c r="L14" s="1058">
        <v>0</v>
      </c>
      <c r="M14" s="1058">
        <v>0</v>
      </c>
      <c r="N14" s="1058">
        <v>0</v>
      </c>
      <c r="O14" s="1058">
        <v>0</v>
      </c>
      <c r="P14" s="840">
        <f>C14+'03'!C14</f>
        <v>48649822</v>
      </c>
      <c r="Q14" s="445"/>
    </row>
    <row r="15" spans="1:17" ht="21" customHeight="1">
      <c r="A15" s="808" t="s">
        <v>9</v>
      </c>
      <c r="B15" s="809" t="s">
        <v>135</v>
      </c>
      <c r="C15" s="1057">
        <f>D15+E15+H15+I15+J15+K15+L15+M15+N15+O15</f>
        <v>150837432</v>
      </c>
      <c r="D15" s="1058">
        <f>9612679+13187087+22239892+888085+2995099+0-269629-10</f>
        <v>48653203</v>
      </c>
      <c r="E15" s="1059">
        <f>F15+G15</f>
        <v>0</v>
      </c>
      <c r="F15" s="1058">
        <v>0</v>
      </c>
      <c r="G15" s="1058">
        <v>0</v>
      </c>
      <c r="H15" s="1058">
        <v>0</v>
      </c>
      <c r="I15" s="1058">
        <v>0</v>
      </c>
      <c r="J15" s="1058">
        <f>20634084+81550145+0</f>
        <v>102184229</v>
      </c>
      <c r="K15" s="1058">
        <v>0</v>
      </c>
      <c r="L15" s="1058">
        <v>0</v>
      </c>
      <c r="M15" s="1058">
        <v>0</v>
      </c>
      <c r="N15" s="1058">
        <v>0</v>
      </c>
      <c r="O15" s="1058">
        <v>0</v>
      </c>
      <c r="P15" s="840">
        <f>C15+'03'!C15</f>
        <v>151204565</v>
      </c>
      <c r="Q15" s="445"/>
    </row>
    <row r="16" spans="1:17" ht="21" customHeight="1">
      <c r="A16" s="805" t="s">
        <v>136</v>
      </c>
      <c r="B16" s="810" t="s">
        <v>137</v>
      </c>
      <c r="C16" s="1060">
        <f>C17+C25</f>
        <v>1264763828</v>
      </c>
      <c r="D16" s="1060">
        <f aca="true" t="shared" si="1" ref="D16:O16">D17+D25</f>
        <v>798507461</v>
      </c>
      <c r="E16" s="1060">
        <f t="shared" si="1"/>
        <v>39200352</v>
      </c>
      <c r="F16" s="1060">
        <f t="shared" si="1"/>
        <v>11210</v>
      </c>
      <c r="G16" s="1060">
        <f t="shared" si="1"/>
        <v>39189142</v>
      </c>
      <c r="H16" s="1060">
        <f t="shared" si="1"/>
        <v>400000</v>
      </c>
      <c r="I16" s="1060">
        <f t="shared" si="1"/>
        <v>23261472</v>
      </c>
      <c r="J16" s="1060">
        <f t="shared" si="1"/>
        <v>398649236</v>
      </c>
      <c r="K16" s="1060">
        <f t="shared" si="1"/>
        <v>847073</v>
      </c>
      <c r="L16" s="1060">
        <f t="shared" si="1"/>
        <v>3074589</v>
      </c>
      <c r="M16" s="1060">
        <f t="shared" si="1"/>
        <v>823645</v>
      </c>
      <c r="N16" s="1060">
        <f t="shared" si="1"/>
        <v>0</v>
      </c>
      <c r="O16" s="1061">
        <f t="shared" si="1"/>
        <v>0</v>
      </c>
      <c r="P16" s="839">
        <f>P17+P25</f>
        <v>1305560191</v>
      </c>
      <c r="Q16" s="443"/>
    </row>
    <row r="17" spans="1:17" ht="21" customHeight="1">
      <c r="A17" s="805" t="s">
        <v>52</v>
      </c>
      <c r="B17" s="816" t="s">
        <v>138</v>
      </c>
      <c r="C17" s="1053">
        <f>C18+C19+C20+C21+C22+C23+C24</f>
        <v>921467080</v>
      </c>
      <c r="D17" s="1053">
        <f aca="true" t="shared" si="2" ref="D17:O17">D18+D19+D20+D21+D22+D23+D24</f>
        <v>599307055</v>
      </c>
      <c r="E17" s="1053">
        <f t="shared" si="2"/>
        <v>25504109</v>
      </c>
      <c r="F17" s="1053">
        <f t="shared" si="2"/>
        <v>11210</v>
      </c>
      <c r="G17" s="1053">
        <f t="shared" si="2"/>
        <v>25492899</v>
      </c>
      <c r="H17" s="1053">
        <f t="shared" si="2"/>
        <v>400000</v>
      </c>
      <c r="I17" s="1053">
        <f t="shared" si="2"/>
        <v>19120129</v>
      </c>
      <c r="J17" s="1053">
        <f t="shared" si="2"/>
        <v>275477079</v>
      </c>
      <c r="K17" s="1053">
        <f t="shared" si="2"/>
        <v>847073</v>
      </c>
      <c r="L17" s="1053">
        <f t="shared" si="2"/>
        <v>0</v>
      </c>
      <c r="M17" s="1053">
        <f t="shared" si="2"/>
        <v>811635</v>
      </c>
      <c r="N17" s="1053">
        <f t="shared" si="2"/>
        <v>0</v>
      </c>
      <c r="O17" s="1053">
        <f t="shared" si="2"/>
        <v>0</v>
      </c>
      <c r="P17" s="839">
        <f>P18+P19+P20+P21+P22+P23+P24+'03'!C20</f>
        <v>951243589</v>
      </c>
      <c r="Q17" s="443"/>
    </row>
    <row r="18" spans="1:17" ht="21" customHeight="1">
      <c r="A18" s="428" t="s">
        <v>54</v>
      </c>
      <c r="B18" s="807" t="s">
        <v>139</v>
      </c>
      <c r="C18" s="1053">
        <f>D18+E18+H18+I18+J18+K18+L18+M18+N18+O18</f>
        <v>126161708</v>
      </c>
      <c r="D18" s="1062">
        <f>137528+2671406+7161723+8113013+2377748+7304450+1189684+9779885+17860384+26887113+5349440+367133-3301210+269623</f>
        <v>86167920</v>
      </c>
      <c r="E18" s="1063">
        <f>F18+G18</f>
        <v>4252490</v>
      </c>
      <c r="F18" s="1062">
        <v>11210</v>
      </c>
      <c r="G18" s="1062">
        <f>1456312+336380+106790+208389+573496+309518+31050+672600+351099+195646+0</f>
        <v>4241280</v>
      </c>
      <c r="H18" s="1062">
        <v>0</v>
      </c>
      <c r="I18" s="1062">
        <f>38600+102501+245274+546807+92434+1108065+79807+1268996+366625+3870662+46000</f>
        <v>7765771</v>
      </c>
      <c r="J18" s="1062">
        <f>6816582+7903159+2156463+740000+461976+4975464+315500+988928+208906+3301210</f>
        <v>27868188</v>
      </c>
      <c r="K18" s="1062">
        <v>107339</v>
      </c>
      <c r="L18" s="1062">
        <v>0</v>
      </c>
      <c r="M18" s="1062">
        <v>0</v>
      </c>
      <c r="N18" s="1056">
        <v>0</v>
      </c>
      <c r="O18" s="1056">
        <v>0</v>
      </c>
      <c r="P18" s="840">
        <f>C18+'03'!C18</f>
        <v>140225790</v>
      </c>
      <c r="Q18" s="413"/>
    </row>
    <row r="19" spans="1:17" ht="21" customHeight="1">
      <c r="A19" s="428" t="s">
        <v>55</v>
      </c>
      <c r="B19" s="807" t="s">
        <v>140</v>
      </c>
      <c r="C19" s="1053">
        <f aca="true" t="shared" si="3" ref="C19:C25">D19+E19+H19+I19+J19+K19+L19+M19+N19+O19</f>
        <v>199250326</v>
      </c>
      <c r="D19" s="1062">
        <f>2809250+130707688+923312+3831902+228763+1771099+1218003+309326+314226+961048+167876</f>
        <v>143242493</v>
      </c>
      <c r="E19" s="1063">
        <f aca="true" t="shared" si="4" ref="E19:E25">F19+G19</f>
        <v>587732</v>
      </c>
      <c r="F19" s="1062">
        <v>0</v>
      </c>
      <c r="G19" s="1062">
        <f>22912+8539+11150+1200+163985+31416+123400+225130</f>
        <v>587732</v>
      </c>
      <c r="H19" s="1062">
        <v>0</v>
      </c>
      <c r="I19" s="1062">
        <f>935268+178800+98742+652000+498133+104484+1202200+632400+21400+0</f>
        <v>4323427</v>
      </c>
      <c r="J19" s="1062">
        <f>190380+2706987+3614975+317234+36947640+7373278-53820</f>
        <v>51096674</v>
      </c>
      <c r="K19" s="1062">
        <v>0</v>
      </c>
      <c r="L19" s="1062">
        <v>0</v>
      </c>
      <c r="M19" s="1062">
        <v>0</v>
      </c>
      <c r="N19" s="1056">
        <v>0</v>
      </c>
      <c r="O19" s="1056">
        <v>0</v>
      </c>
      <c r="P19" s="840">
        <f>C19+'03'!C19</f>
        <v>200183460</v>
      </c>
      <c r="Q19" s="413"/>
    </row>
    <row r="20" spans="1:17" ht="21" customHeight="1">
      <c r="A20" s="428" t="s">
        <v>141</v>
      </c>
      <c r="B20" s="807" t="s">
        <v>142</v>
      </c>
      <c r="C20" s="1053">
        <f t="shared" si="3"/>
        <v>536195844</v>
      </c>
      <c r="D20" s="1062">
        <f>1021492+17800746+14823793+37495145+3785012+22852709+8536643+17775932+15286731+139159479+44286016-219015</f>
        <v>322604683</v>
      </c>
      <c r="E20" s="1063">
        <f t="shared" si="4"/>
        <v>20571887</v>
      </c>
      <c r="F20" s="1062">
        <v>0</v>
      </c>
      <c r="G20" s="1062">
        <f>13837642+2293843+789786+448597+454208+232620+153890+2081760+84063+167119+28359+0</f>
        <v>20571887</v>
      </c>
      <c r="H20" s="1062">
        <v>0</v>
      </c>
      <c r="I20" s="1062">
        <f>37000+160394+91000+2741974+628805+979026+90688+341085+728440+821277</f>
        <v>6619689</v>
      </c>
      <c r="J20" s="1062">
        <f>51320918+82018538+7922252+829219+3763976+16475171+15957009+6583628+0-22495</f>
        <v>184848216</v>
      </c>
      <c r="K20" s="1062">
        <v>739734</v>
      </c>
      <c r="L20" s="1062">
        <v>0</v>
      </c>
      <c r="M20" s="1062">
        <v>811635</v>
      </c>
      <c r="N20" s="1056">
        <v>0</v>
      </c>
      <c r="O20" s="1056">
        <v>0</v>
      </c>
      <c r="P20" s="840">
        <f>C20+'03'!C21</f>
        <v>549761802</v>
      </c>
      <c r="Q20" s="413"/>
    </row>
    <row r="21" spans="1:17" ht="21" customHeight="1">
      <c r="A21" s="428" t="s">
        <v>143</v>
      </c>
      <c r="B21" s="807" t="s">
        <v>144</v>
      </c>
      <c r="C21" s="1053">
        <f t="shared" si="3"/>
        <v>23659590</v>
      </c>
      <c r="D21" s="1056">
        <f>5393455+13587388+287519+2414069+152884+677297+54000+56000+513083+0</f>
        <v>23135695</v>
      </c>
      <c r="E21" s="1063">
        <f t="shared" si="4"/>
        <v>0</v>
      </c>
      <c r="F21" s="1056">
        <v>0</v>
      </c>
      <c r="G21" s="1056">
        <f>0</f>
        <v>0</v>
      </c>
      <c r="H21" s="1056">
        <v>0</v>
      </c>
      <c r="I21" s="1056">
        <f>234000+13500+6000+3600+3600+2000+200-200</f>
        <v>262700</v>
      </c>
      <c r="J21" s="1056">
        <f>261195+0</f>
        <v>261195</v>
      </c>
      <c r="K21" s="1056">
        <v>0</v>
      </c>
      <c r="L21" s="1056">
        <v>0</v>
      </c>
      <c r="M21" s="1056">
        <v>0</v>
      </c>
      <c r="N21" s="1056">
        <v>0</v>
      </c>
      <c r="O21" s="1056">
        <v>0</v>
      </c>
      <c r="P21" s="840">
        <f>C21+'03'!C22</f>
        <v>23827042</v>
      </c>
      <c r="Q21" s="413"/>
    </row>
    <row r="22" spans="1:17" ht="21" customHeight="1">
      <c r="A22" s="428" t="s">
        <v>145</v>
      </c>
      <c r="B22" s="807" t="s">
        <v>146</v>
      </c>
      <c r="C22" s="1053">
        <f t="shared" si="3"/>
        <v>12641372</v>
      </c>
      <c r="D22" s="1062">
        <f>2773979+8602+0+57260</f>
        <v>2839841</v>
      </c>
      <c r="E22" s="1063">
        <f t="shared" si="4"/>
        <v>0</v>
      </c>
      <c r="F22" s="1062">
        <v>0</v>
      </c>
      <c r="G22" s="1062">
        <v>0</v>
      </c>
      <c r="H22" s="1062">
        <v>400000</v>
      </c>
      <c r="I22" s="1062">
        <v>0</v>
      </c>
      <c r="J22" s="1062">
        <f>9401531+0</f>
        <v>9401531</v>
      </c>
      <c r="K22" s="1062">
        <v>0</v>
      </c>
      <c r="L22" s="1062">
        <v>0</v>
      </c>
      <c r="M22" s="1062">
        <v>0</v>
      </c>
      <c r="N22" s="1056">
        <v>0</v>
      </c>
      <c r="O22" s="1056">
        <v>0</v>
      </c>
      <c r="P22" s="840">
        <f>C22+'03'!C23</f>
        <v>12720575</v>
      </c>
      <c r="Q22" s="413"/>
    </row>
    <row r="23" spans="1:17" ht="25.5">
      <c r="A23" s="428" t="s">
        <v>147</v>
      </c>
      <c r="B23" s="431" t="s">
        <v>148</v>
      </c>
      <c r="C23" s="1053">
        <f t="shared" si="3"/>
        <v>353094</v>
      </c>
      <c r="D23" s="1062">
        <f>353094+0</f>
        <v>353094</v>
      </c>
      <c r="E23" s="1063">
        <f t="shared" si="4"/>
        <v>0</v>
      </c>
      <c r="F23" s="1062">
        <v>0</v>
      </c>
      <c r="G23" s="1062">
        <v>0</v>
      </c>
      <c r="H23" s="1062">
        <v>0</v>
      </c>
      <c r="I23" s="1062">
        <v>0</v>
      </c>
      <c r="J23" s="1062">
        <v>0</v>
      </c>
      <c r="K23" s="1062">
        <v>0</v>
      </c>
      <c r="L23" s="1062">
        <v>0</v>
      </c>
      <c r="M23" s="1062">
        <v>0</v>
      </c>
      <c r="N23" s="1056">
        <v>0</v>
      </c>
      <c r="O23" s="1056">
        <v>0</v>
      </c>
      <c r="P23" s="840">
        <f>C23+'03'!C24</f>
        <v>353094</v>
      </c>
      <c r="Q23" s="413"/>
    </row>
    <row r="24" spans="1:17" ht="21" customHeight="1">
      <c r="A24" s="428" t="s">
        <v>149</v>
      </c>
      <c r="B24" s="807" t="s">
        <v>150</v>
      </c>
      <c r="C24" s="1053">
        <f t="shared" si="3"/>
        <v>23205146</v>
      </c>
      <c r="D24" s="1056">
        <f>129311+20823641+109780+21500+41097+0-162000</f>
        <v>20963329</v>
      </c>
      <c r="E24" s="1063">
        <f t="shared" si="4"/>
        <v>92000</v>
      </c>
      <c r="F24" s="1056">
        <v>0</v>
      </c>
      <c r="G24" s="1056">
        <f>92000</f>
        <v>92000</v>
      </c>
      <c r="H24" s="1056">
        <v>0</v>
      </c>
      <c r="I24" s="1056">
        <f>116542+32000</f>
        <v>148542</v>
      </c>
      <c r="J24" s="1056">
        <f>10377+944232+1046666+0</f>
        <v>2001275</v>
      </c>
      <c r="K24" s="1056">
        <v>0</v>
      </c>
      <c r="L24" s="1056">
        <v>0</v>
      </c>
      <c r="M24" s="1056">
        <v>0</v>
      </c>
      <c r="N24" s="1056">
        <v>0</v>
      </c>
      <c r="O24" s="1056">
        <v>0</v>
      </c>
      <c r="P24" s="840">
        <f>C24+'03'!C25</f>
        <v>24135860</v>
      </c>
      <c r="Q24" s="413"/>
    </row>
    <row r="25" spans="1:17" ht="21" customHeight="1">
      <c r="A25" s="805" t="s">
        <v>53</v>
      </c>
      <c r="B25" s="810" t="s">
        <v>151</v>
      </c>
      <c r="C25" s="1053">
        <f t="shared" si="3"/>
        <v>343296748</v>
      </c>
      <c r="D25" s="1053">
        <f>507620+2551271+35047954+22151474+5013022+11409016+10004618+28360510+45974318+8098385+30099475+0-17257</f>
        <v>199200406</v>
      </c>
      <c r="E25" s="1063">
        <f t="shared" si="4"/>
        <v>13696243</v>
      </c>
      <c r="F25" s="1053">
        <v>0</v>
      </c>
      <c r="G25" s="1053">
        <f>473130+611319+1906580+244092+642166+289005+399129+872764+657141+7600917</f>
        <v>13696243</v>
      </c>
      <c r="H25" s="1053">
        <v>0</v>
      </c>
      <c r="I25" s="1053">
        <f>144120+149500+497975+6000+284076+798728+119500+1282000+886444+0-27000</f>
        <v>4141343</v>
      </c>
      <c r="J25" s="1053">
        <f>58476023+11950269+1048288+10272621+21480723+19944233+0</f>
        <v>123172157</v>
      </c>
      <c r="K25" s="1053">
        <v>0</v>
      </c>
      <c r="L25" s="1053">
        <v>3074589</v>
      </c>
      <c r="M25" s="1053">
        <v>12010</v>
      </c>
      <c r="N25" s="1064">
        <v>0</v>
      </c>
      <c r="O25" s="1064">
        <v>0</v>
      </c>
      <c r="P25" s="839">
        <f>C25+'03'!C26</f>
        <v>354316602</v>
      </c>
      <c r="Q25" s="413"/>
    </row>
    <row r="26" spans="1:17" ht="25.5">
      <c r="A26" s="1004" t="s">
        <v>553</v>
      </c>
      <c r="B26" s="477" t="s">
        <v>152</v>
      </c>
      <c r="C26" s="804">
        <f>(C18+C19)/C17</f>
        <v>0.35314558822871894</v>
      </c>
      <c r="D26" s="804">
        <f aca="true" t="shared" si="5" ref="D26:O26">(D18+D19)/D17</f>
        <v>0.38279277890362895</v>
      </c>
      <c r="E26" s="804">
        <f t="shared" si="5"/>
        <v>0.18978204649297883</v>
      </c>
      <c r="F26" s="804">
        <f t="shared" si="5"/>
        <v>1</v>
      </c>
      <c r="G26" s="804">
        <f t="shared" si="5"/>
        <v>0.189425769113195</v>
      </c>
      <c r="H26" s="804">
        <f t="shared" si="5"/>
        <v>0</v>
      </c>
      <c r="I26" s="804">
        <f t="shared" si="5"/>
        <v>0.6322759642468939</v>
      </c>
      <c r="J26" s="804">
        <f t="shared" si="5"/>
        <v>0.2866476669734109</v>
      </c>
      <c r="K26" s="804">
        <f t="shared" si="5"/>
        <v>0.12671753201908217</v>
      </c>
      <c r="L26" s="804" t="e">
        <f t="shared" si="5"/>
        <v>#DIV/0!</v>
      </c>
      <c r="M26" s="804">
        <f t="shared" si="5"/>
        <v>0</v>
      </c>
      <c r="N26" s="804" t="e">
        <f t="shared" si="5"/>
        <v>#DIV/0!</v>
      </c>
      <c r="O26" s="804" t="e">
        <f t="shared" si="5"/>
        <v>#DIV/0!</v>
      </c>
      <c r="P26" s="840">
        <f>P25+P24+P23+P22+P21+P20</f>
        <v>965114975</v>
      </c>
      <c r="Q26" s="413"/>
    </row>
    <row r="27" spans="3:15" ht="15">
      <c r="C27" s="838">
        <f>C25+C17+C14-C11</f>
        <v>0</v>
      </c>
      <c r="D27" s="838">
        <f aca="true" t="shared" si="6" ref="D27:O27">D25+D17+D14-D11</f>
        <v>0</v>
      </c>
      <c r="E27" s="838">
        <f t="shared" si="6"/>
        <v>0</v>
      </c>
      <c r="F27" s="838">
        <f t="shared" si="6"/>
        <v>0</v>
      </c>
      <c r="G27" s="838">
        <f t="shared" si="6"/>
        <v>0</v>
      </c>
      <c r="H27" s="838">
        <f t="shared" si="6"/>
        <v>0</v>
      </c>
      <c r="I27" s="838">
        <f t="shared" si="6"/>
        <v>0</v>
      </c>
      <c r="J27" s="838">
        <f t="shared" si="6"/>
        <v>0</v>
      </c>
      <c r="K27" s="838">
        <f t="shared" si="6"/>
        <v>0</v>
      </c>
      <c r="L27" s="838">
        <f t="shared" si="6"/>
        <v>0</v>
      </c>
      <c r="M27" s="838">
        <f t="shared" si="6"/>
        <v>0</v>
      </c>
      <c r="N27" s="838">
        <f t="shared" si="6"/>
        <v>0</v>
      </c>
      <c r="O27" s="838">
        <f t="shared" si="6"/>
        <v>0</v>
      </c>
    </row>
  </sheetData>
  <sheetProtection/>
  <mergeCells count="27">
    <mergeCell ref="A10:B10"/>
    <mergeCell ref="C6:C9"/>
    <mergeCell ref="D6:O6"/>
    <mergeCell ref="D7:D9"/>
    <mergeCell ref="E7:G7"/>
    <mergeCell ref="J7:J9"/>
    <mergeCell ref="K7:K9"/>
    <mergeCell ref="L7:L9"/>
    <mergeCell ref="O7:O9"/>
    <mergeCell ref="E8:E9"/>
    <mergeCell ref="P8:Q8"/>
    <mergeCell ref="A6:B9"/>
    <mergeCell ref="N7:N9"/>
    <mergeCell ref="H7:H9"/>
    <mergeCell ref="A1:B1"/>
    <mergeCell ref="A2:C2"/>
    <mergeCell ref="D2:K2"/>
    <mergeCell ref="D3:K3"/>
    <mergeCell ref="A3:B3"/>
    <mergeCell ref="L1:O1"/>
    <mergeCell ref="I7:I9"/>
    <mergeCell ref="L2:O2"/>
    <mergeCell ref="L3:O3"/>
    <mergeCell ref="L4:O4"/>
    <mergeCell ref="D1:K1"/>
    <mergeCell ref="F8:G8"/>
    <mergeCell ref="M7:M9"/>
  </mergeCells>
  <printOptions/>
  <pageMargins left="0" right="0" top="0"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203" t="s">
        <v>36</v>
      </c>
      <c r="B1" s="1203"/>
      <c r="C1" s="1203"/>
      <c r="D1" s="1203"/>
      <c r="E1" s="1206" t="s">
        <v>480</v>
      </c>
      <c r="F1" s="1206"/>
      <c r="G1" s="1206"/>
      <c r="H1" s="1206"/>
      <c r="I1" s="1206"/>
      <c r="J1" s="1206"/>
      <c r="K1" s="1206"/>
      <c r="L1" s="40" t="s">
        <v>456</v>
      </c>
      <c r="M1" s="40"/>
      <c r="N1" s="40"/>
      <c r="O1" s="41"/>
      <c r="P1" s="41"/>
    </row>
    <row r="2" spans="1:16" ht="15.75" customHeight="1">
      <c r="A2" s="1219" t="s">
        <v>342</v>
      </c>
      <c r="B2" s="1219"/>
      <c r="C2" s="1219"/>
      <c r="D2" s="1219"/>
      <c r="E2" s="1206"/>
      <c r="F2" s="1206"/>
      <c r="G2" s="1206"/>
      <c r="H2" s="1206"/>
      <c r="I2" s="1206"/>
      <c r="J2" s="1206"/>
      <c r="K2" s="1206"/>
      <c r="L2" s="1213" t="s">
        <v>359</v>
      </c>
      <c r="M2" s="1213"/>
      <c r="N2" s="1213"/>
      <c r="O2" s="44"/>
      <c r="P2" s="41"/>
    </row>
    <row r="3" spans="1:16" ht="18" customHeight="1">
      <c r="A3" s="1219" t="s">
        <v>343</v>
      </c>
      <c r="B3" s="1219"/>
      <c r="C3" s="1219"/>
      <c r="D3" s="1219"/>
      <c r="E3" s="1220" t="s">
        <v>476</v>
      </c>
      <c r="F3" s="1220"/>
      <c r="G3" s="1220"/>
      <c r="H3" s="1220"/>
      <c r="I3" s="1220"/>
      <c r="J3" s="1220"/>
      <c r="K3" s="45"/>
      <c r="L3" s="1214" t="s">
        <v>475</v>
      </c>
      <c r="M3" s="1214"/>
      <c r="N3" s="1214"/>
      <c r="O3" s="41"/>
      <c r="P3" s="41"/>
    </row>
    <row r="4" spans="1:16" ht="21" customHeight="1">
      <c r="A4" s="1205" t="s">
        <v>362</v>
      </c>
      <c r="B4" s="1205"/>
      <c r="C4" s="1205"/>
      <c r="D4" s="1205"/>
      <c r="E4" s="48"/>
      <c r="F4" s="49"/>
      <c r="G4" s="50"/>
      <c r="H4" s="50"/>
      <c r="I4" s="50"/>
      <c r="J4" s="50"/>
      <c r="K4" s="41"/>
      <c r="L4" s="1213" t="s">
        <v>354</v>
      </c>
      <c r="M4" s="1213"/>
      <c r="N4" s="1213"/>
      <c r="O4" s="44"/>
      <c r="P4" s="41"/>
    </row>
    <row r="5" spans="1:16" ht="18" customHeight="1">
      <c r="A5" s="50"/>
      <c r="B5" s="41"/>
      <c r="C5" s="51"/>
      <c r="D5" s="1215"/>
      <c r="E5" s="1215"/>
      <c r="F5" s="1215"/>
      <c r="G5" s="1215"/>
      <c r="H5" s="1215"/>
      <c r="I5" s="1215"/>
      <c r="J5" s="1215"/>
      <c r="K5" s="1215"/>
      <c r="L5" s="52" t="s">
        <v>363</v>
      </c>
      <c r="M5" s="52"/>
      <c r="N5" s="52"/>
      <c r="O5" s="41"/>
      <c r="P5" s="41"/>
    </row>
    <row r="6" spans="1:18" ht="33" customHeight="1">
      <c r="A6" s="1197" t="s">
        <v>72</v>
      </c>
      <c r="B6" s="1198"/>
      <c r="C6" s="1204" t="s">
        <v>364</v>
      </c>
      <c r="D6" s="1204"/>
      <c r="E6" s="1204"/>
      <c r="F6" s="1204"/>
      <c r="G6" s="1229" t="s">
        <v>7</v>
      </c>
      <c r="H6" s="1230"/>
      <c r="I6" s="1230"/>
      <c r="J6" s="1230"/>
      <c r="K6" s="1230"/>
      <c r="L6" s="1230"/>
      <c r="M6" s="1230"/>
      <c r="N6" s="1225"/>
      <c r="O6" s="1228" t="s">
        <v>365</v>
      </c>
      <c r="P6" s="1221"/>
      <c r="Q6" s="1221"/>
      <c r="R6" s="1222"/>
    </row>
    <row r="7" spans="1:18" ht="29.25" customHeight="1">
      <c r="A7" s="1199"/>
      <c r="B7" s="1200"/>
      <c r="C7" s="1204"/>
      <c r="D7" s="1204"/>
      <c r="E7" s="1204"/>
      <c r="F7" s="1204"/>
      <c r="G7" s="1229" t="s">
        <v>366</v>
      </c>
      <c r="H7" s="1230"/>
      <c r="I7" s="1230"/>
      <c r="J7" s="1225"/>
      <c r="K7" s="1229" t="s">
        <v>110</v>
      </c>
      <c r="L7" s="1230"/>
      <c r="M7" s="1230"/>
      <c r="N7" s="1225"/>
      <c r="O7" s="54" t="s">
        <v>367</v>
      </c>
      <c r="P7" s="54" t="s">
        <v>368</v>
      </c>
      <c r="Q7" s="1223" t="s">
        <v>369</v>
      </c>
      <c r="R7" s="1223" t="s">
        <v>370</v>
      </c>
    </row>
    <row r="8" spans="1:18" ht="26.25" customHeight="1">
      <c r="A8" s="1199"/>
      <c r="B8" s="1200"/>
      <c r="C8" s="1226" t="s">
        <v>107</v>
      </c>
      <c r="D8" s="1196"/>
      <c r="E8" s="1226" t="s">
        <v>106</v>
      </c>
      <c r="F8" s="1196"/>
      <c r="G8" s="1226" t="s">
        <v>108</v>
      </c>
      <c r="H8" s="1227"/>
      <c r="I8" s="1226" t="s">
        <v>109</v>
      </c>
      <c r="J8" s="1227"/>
      <c r="K8" s="1226" t="s">
        <v>111</v>
      </c>
      <c r="L8" s="1227"/>
      <c r="M8" s="1226" t="s">
        <v>112</v>
      </c>
      <c r="N8" s="1227"/>
      <c r="O8" s="1216" t="s">
        <v>371</v>
      </c>
      <c r="P8" s="1217" t="s">
        <v>372</v>
      </c>
      <c r="Q8" s="1223"/>
      <c r="R8" s="1223"/>
    </row>
    <row r="9" spans="1:18" ht="30.75" customHeight="1">
      <c r="A9" s="1199"/>
      <c r="B9" s="1200"/>
      <c r="C9" s="55" t="s">
        <v>3</v>
      </c>
      <c r="D9" s="53" t="s">
        <v>10</v>
      </c>
      <c r="E9" s="53" t="s">
        <v>3</v>
      </c>
      <c r="F9" s="53" t="s">
        <v>10</v>
      </c>
      <c r="G9" s="56" t="s">
        <v>3</v>
      </c>
      <c r="H9" s="56" t="s">
        <v>10</v>
      </c>
      <c r="I9" s="56" t="s">
        <v>3</v>
      </c>
      <c r="J9" s="56" t="s">
        <v>10</v>
      </c>
      <c r="K9" s="56" t="s">
        <v>3</v>
      </c>
      <c r="L9" s="56" t="s">
        <v>10</v>
      </c>
      <c r="M9" s="56" t="s">
        <v>3</v>
      </c>
      <c r="N9" s="56" t="s">
        <v>10</v>
      </c>
      <c r="O9" s="1216"/>
      <c r="P9" s="1218"/>
      <c r="Q9" s="1224"/>
      <c r="R9" s="1224"/>
    </row>
    <row r="10" spans="1:18" s="61" customFormat="1" ht="18" customHeight="1">
      <c r="A10" s="1209" t="s">
        <v>6</v>
      </c>
      <c r="B10" s="1209"/>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211" t="s">
        <v>373</v>
      </c>
      <c r="B11" s="1212"/>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194" t="s">
        <v>477</v>
      </c>
      <c r="B12" s="1195"/>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192" t="s">
        <v>38</v>
      </c>
      <c r="B13" s="1193"/>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374</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375</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376</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377</v>
      </c>
    </row>
    <row r="18" spans="1:18" s="79" customFormat="1" ht="18" customHeight="1">
      <c r="A18" s="75" t="s">
        <v>58</v>
      </c>
      <c r="B18" s="76" t="s">
        <v>378</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379</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380</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381</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382</v>
      </c>
      <c r="AK21" s="61" t="s">
        <v>383</v>
      </c>
      <c r="AL21" s="61" t="s">
        <v>384</v>
      </c>
      <c r="AM21" s="72" t="s">
        <v>385</v>
      </c>
    </row>
    <row r="22" spans="1:39" s="61" customFormat="1" ht="18" customHeight="1">
      <c r="A22" s="75" t="s">
        <v>76</v>
      </c>
      <c r="B22" s="76" t="s">
        <v>386</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387</v>
      </c>
    </row>
    <row r="23" spans="1:18" s="61" customFormat="1" ht="18" customHeight="1">
      <c r="A23" s="75" t="s">
        <v>77</v>
      </c>
      <c r="B23" s="76" t="s">
        <v>388</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389</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382</v>
      </c>
    </row>
    <row r="25" spans="1:36" s="61" customFormat="1" ht="18" customHeight="1">
      <c r="A25" s="75" t="s">
        <v>101</v>
      </c>
      <c r="B25" s="76" t="s">
        <v>390</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391</v>
      </c>
    </row>
    <row r="26" spans="1:44" s="61" customFormat="1" ht="18" customHeight="1">
      <c r="A26" s="75" t="s">
        <v>102</v>
      </c>
      <c r="B26" s="76" t="s">
        <v>392</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210" t="s">
        <v>478</v>
      </c>
      <c r="C28" s="1210"/>
      <c r="D28" s="1210"/>
      <c r="E28" s="1210"/>
      <c r="F28" s="84"/>
      <c r="G28" s="85"/>
      <c r="H28" s="85"/>
      <c r="I28" s="85"/>
      <c r="J28" s="1210" t="s">
        <v>479</v>
      </c>
      <c r="K28" s="1210"/>
      <c r="L28" s="1210"/>
      <c r="M28" s="1210"/>
      <c r="N28" s="1210"/>
      <c r="O28" s="86"/>
      <c r="P28" s="86"/>
      <c r="AG28" s="87" t="s">
        <v>394</v>
      </c>
      <c r="AI28" s="88">
        <f>82/88</f>
        <v>0.9318181818181818</v>
      </c>
    </row>
    <row r="29" spans="1:16" s="94" customFormat="1" ht="19.5" customHeight="1">
      <c r="A29" s="89"/>
      <c r="B29" s="1235" t="s">
        <v>43</v>
      </c>
      <c r="C29" s="1235"/>
      <c r="D29" s="1235"/>
      <c r="E29" s="1235"/>
      <c r="F29" s="91"/>
      <c r="G29" s="92"/>
      <c r="H29" s="92"/>
      <c r="I29" s="92"/>
      <c r="J29" s="1235" t="s">
        <v>395</v>
      </c>
      <c r="K29" s="1235"/>
      <c r="L29" s="1235"/>
      <c r="M29" s="1235"/>
      <c r="N29" s="1235"/>
      <c r="O29" s="93"/>
      <c r="P29" s="93"/>
    </row>
    <row r="30" spans="1:16" s="94" customFormat="1" ht="19.5" customHeight="1">
      <c r="A30" s="89"/>
      <c r="B30" s="1207"/>
      <c r="C30" s="1207"/>
      <c r="D30" s="1207"/>
      <c r="E30" s="91"/>
      <c r="F30" s="91"/>
      <c r="G30" s="92"/>
      <c r="H30" s="92"/>
      <c r="I30" s="92"/>
      <c r="J30" s="1208"/>
      <c r="K30" s="1208"/>
      <c r="L30" s="1208"/>
      <c r="M30" s="1208"/>
      <c r="N30" s="1208"/>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237" t="s">
        <v>396</v>
      </c>
      <c r="C32" s="1237"/>
      <c r="D32" s="1237"/>
      <c r="E32" s="1237"/>
      <c r="F32" s="96"/>
      <c r="G32" s="97"/>
      <c r="H32" s="97"/>
      <c r="I32" s="97"/>
      <c r="J32" s="1236" t="s">
        <v>396</v>
      </c>
      <c r="K32" s="1236"/>
      <c r="L32" s="1236"/>
      <c r="M32" s="1236"/>
      <c r="N32" s="1236"/>
      <c r="O32" s="93"/>
      <c r="P32" s="93"/>
    </row>
    <row r="33" spans="1:16" s="94" customFormat="1" ht="19.5" customHeight="1">
      <c r="A33" s="89"/>
      <c r="B33" s="1235" t="s">
        <v>397</v>
      </c>
      <c r="C33" s="1235"/>
      <c r="D33" s="1235"/>
      <c r="E33" s="1235"/>
      <c r="F33" s="91"/>
      <c r="G33" s="92"/>
      <c r="H33" s="92"/>
      <c r="I33" s="92"/>
      <c r="J33" s="90"/>
      <c r="K33" s="1235" t="s">
        <v>397</v>
      </c>
      <c r="L33" s="1235"/>
      <c r="M33" s="1235"/>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201" t="s">
        <v>350</v>
      </c>
      <c r="C36" s="1201"/>
      <c r="D36" s="1201"/>
      <c r="E36" s="1201"/>
      <c r="F36" s="100"/>
      <c r="G36" s="100"/>
      <c r="H36" s="100"/>
      <c r="I36" s="100"/>
      <c r="J36" s="1202" t="s">
        <v>351</v>
      </c>
      <c r="K36" s="1202"/>
      <c r="L36" s="1202"/>
      <c r="M36" s="1202"/>
      <c r="N36" s="1202"/>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G7:J7"/>
    <mergeCell ref="K8:L8"/>
    <mergeCell ref="O6:R6"/>
    <mergeCell ref="R7:R9"/>
    <mergeCell ref="Q7:Q9"/>
    <mergeCell ref="O8:O9"/>
    <mergeCell ref="P8:P9"/>
    <mergeCell ref="G6:N6"/>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39"/>
  <sheetViews>
    <sheetView showZeros="0" view="pageBreakPreview" zoomScaleNormal="80" zoomScaleSheetLayoutView="100" zoomScalePageLayoutView="0" workbookViewId="0" topLeftCell="A1">
      <selection activeCell="C9" sqref="C9"/>
    </sheetView>
  </sheetViews>
  <sheetFormatPr defaultColWidth="9.00390625" defaultRowHeight="15.75"/>
  <cols>
    <col min="1" max="1" width="4.25390625" style="421" customWidth="1"/>
    <col min="2" max="2" width="64.25390625" style="421" customWidth="1"/>
    <col min="3" max="3" width="52.25390625" style="421" customWidth="1"/>
    <col min="4" max="4" width="10.875" style="421" bestFit="1" customWidth="1"/>
    <col min="5" max="16384" width="9.00390625" style="421" customWidth="1"/>
  </cols>
  <sheetData>
    <row r="1" spans="1:3" s="434" customFormat="1" ht="24.75" customHeight="1">
      <c r="A1" s="1520" t="s">
        <v>206</v>
      </c>
      <c r="B1" s="1521"/>
      <c r="C1" s="1521"/>
    </row>
    <row r="2" spans="1:3" s="459" customFormat="1" ht="15" customHeight="1">
      <c r="A2" s="1522" t="s">
        <v>70</v>
      </c>
      <c r="B2" s="1523"/>
      <c r="C2" s="836" t="s">
        <v>770</v>
      </c>
    </row>
    <row r="3" spans="1:3" s="437" customFormat="1" ht="11.25" customHeight="1">
      <c r="A3" s="1535" t="s">
        <v>6</v>
      </c>
      <c r="B3" s="1536"/>
      <c r="C3" s="14">
        <v>1</v>
      </c>
    </row>
    <row r="4" spans="1:4" s="437" customFormat="1" ht="14.25" customHeight="1">
      <c r="A4" s="842" t="s">
        <v>52</v>
      </c>
      <c r="B4" s="843" t="s">
        <v>570</v>
      </c>
      <c r="C4" s="826">
        <f>'04'!C21</f>
        <v>23659590</v>
      </c>
      <c r="D4" s="852">
        <f>C5+C6+C7+C8+C9+C10+C11+C12+C13-C4</f>
        <v>0</v>
      </c>
    </row>
    <row r="5" spans="1:4" s="26" customFormat="1" ht="15" customHeight="1">
      <c r="A5" s="19" t="s">
        <v>54</v>
      </c>
      <c r="B5" s="841" t="s">
        <v>168</v>
      </c>
      <c r="C5" s="1065">
        <f>7399000+1723622</f>
        <v>9122622</v>
      </c>
      <c r="D5" s="852"/>
    </row>
    <row r="6" spans="1:4" s="26" customFormat="1" ht="14.25" customHeight="1">
      <c r="A6" s="19" t="s">
        <v>55</v>
      </c>
      <c r="B6" s="841" t="s">
        <v>170</v>
      </c>
      <c r="C6" s="1065">
        <f>3600+15000+301019+4366133+3669833</f>
        <v>8355585</v>
      </c>
      <c r="D6" s="852"/>
    </row>
    <row r="7" spans="1:4" s="26" customFormat="1" ht="14.25" customHeight="1">
      <c r="A7" s="19" t="s">
        <v>141</v>
      </c>
      <c r="B7" s="841" t="s">
        <v>180</v>
      </c>
      <c r="C7" s="1065">
        <f>513083+261195+3600+48000+40000+0</f>
        <v>865878</v>
      </c>
      <c r="D7" s="852"/>
    </row>
    <row r="8" spans="1:4" s="26" customFormat="1" ht="14.25" customHeight="1">
      <c r="A8" s="19" t="s">
        <v>143</v>
      </c>
      <c r="B8" s="841" t="s">
        <v>172</v>
      </c>
      <c r="C8" s="1065">
        <f>629297+137884+2414069+2016255+0</f>
        <v>5197505</v>
      </c>
      <c r="D8" s="852"/>
    </row>
    <row r="9" spans="1:4" s="26" customFormat="1" ht="14.25" customHeight="1">
      <c r="A9" s="19" t="s">
        <v>145</v>
      </c>
      <c r="B9" s="841" t="s">
        <v>156</v>
      </c>
      <c r="C9" s="1065">
        <f>118000</f>
        <v>118000</v>
      </c>
      <c r="D9" s="852"/>
    </row>
    <row r="10" spans="1:4" s="26" customFormat="1" ht="13.5" customHeight="1">
      <c r="A10" s="19" t="s">
        <v>147</v>
      </c>
      <c r="B10" s="841" t="s">
        <v>185</v>
      </c>
      <c r="C10" s="1065">
        <v>0</v>
      </c>
      <c r="D10" s="852"/>
    </row>
    <row r="11" spans="1:4" s="26" customFormat="1" ht="14.25" customHeight="1">
      <c r="A11" s="19" t="s">
        <v>149</v>
      </c>
      <c r="B11" s="841" t="s">
        <v>158</v>
      </c>
      <c r="C11" s="1065">
        <v>0</v>
      </c>
      <c r="D11" s="852"/>
    </row>
    <row r="12" spans="1:4" s="438" customFormat="1" ht="13.5" customHeight="1">
      <c r="A12" s="19" t="s">
        <v>186</v>
      </c>
      <c r="B12" s="841" t="s">
        <v>187</v>
      </c>
      <c r="C12" s="1066">
        <v>0</v>
      </c>
      <c r="D12" s="853"/>
    </row>
    <row r="13" spans="1:4" s="438" customFormat="1" ht="12" customHeight="1">
      <c r="A13" s="19" t="s">
        <v>573</v>
      </c>
      <c r="B13" s="841" t="s">
        <v>160</v>
      </c>
      <c r="C13" s="1066">
        <v>0</v>
      </c>
      <c r="D13" s="853"/>
    </row>
    <row r="14" spans="1:4" s="438" customFormat="1" ht="12.75" customHeight="1">
      <c r="A14" s="842" t="s">
        <v>53</v>
      </c>
      <c r="B14" s="843" t="s">
        <v>571</v>
      </c>
      <c r="C14" s="1067">
        <f>'04'!C22</f>
        <v>12641372</v>
      </c>
      <c r="D14" s="853">
        <f>C15+C16-C14</f>
        <v>0</v>
      </c>
    </row>
    <row r="15" spans="1:4" s="438" customFormat="1" ht="13.5" customHeight="1">
      <c r="A15" s="19" t="s">
        <v>56</v>
      </c>
      <c r="B15" s="841" t="s">
        <v>188</v>
      </c>
      <c r="C15" s="1065">
        <v>12641372</v>
      </c>
      <c r="D15" s="853"/>
    </row>
    <row r="16" spans="1:4" s="438" customFormat="1" ht="12.75" customHeight="1">
      <c r="A16" s="19" t="s">
        <v>57</v>
      </c>
      <c r="B16" s="841" t="s">
        <v>160</v>
      </c>
      <c r="C16" s="1065"/>
      <c r="D16" s="853"/>
    </row>
    <row r="17" spans="1:4" s="437" customFormat="1" ht="13.5" customHeight="1">
      <c r="A17" s="842" t="s">
        <v>58</v>
      </c>
      <c r="B17" s="837" t="s">
        <v>150</v>
      </c>
      <c r="C17" s="1067">
        <f>'04'!C24</f>
        <v>23205146</v>
      </c>
      <c r="D17" s="852">
        <f>C18+C19+C20-C17</f>
        <v>0</v>
      </c>
    </row>
    <row r="18" spans="1:4" ht="14.25" customHeight="1">
      <c r="A18" s="19" t="s">
        <v>161</v>
      </c>
      <c r="B18" s="841" t="s">
        <v>189</v>
      </c>
      <c r="C18" s="1065">
        <f>41097+20947641+1046666+0</f>
        <v>22035404</v>
      </c>
      <c r="D18" s="852"/>
    </row>
    <row r="19" spans="1:4" s="26" customFormat="1" ht="13.5" customHeight="1">
      <c r="A19" s="19" t="s">
        <v>163</v>
      </c>
      <c r="B19" s="841" t="s">
        <v>164</v>
      </c>
      <c r="C19" s="1065">
        <f>138042+120157+0</f>
        <v>258199</v>
      </c>
      <c r="D19" s="852"/>
    </row>
    <row r="20" spans="1:4" s="26" customFormat="1" ht="14.25" customHeight="1">
      <c r="A20" s="19" t="s">
        <v>165</v>
      </c>
      <c r="B20" s="841" t="s">
        <v>166</v>
      </c>
      <c r="C20" s="1065">
        <v>911543</v>
      </c>
      <c r="D20" s="852"/>
    </row>
    <row r="21" spans="1:4" s="26" customFormat="1" ht="13.5" customHeight="1">
      <c r="A21" s="844" t="s">
        <v>73</v>
      </c>
      <c r="B21" s="843" t="s">
        <v>568</v>
      </c>
      <c r="C21" s="1067">
        <f>'04'!C19</f>
        <v>199250326</v>
      </c>
      <c r="D21" s="852">
        <f>C22+C23+C24+C25+C26+C27+C28-C21</f>
        <v>0</v>
      </c>
    </row>
    <row r="22" spans="1:4" s="26" customFormat="1" ht="13.5" customHeight="1">
      <c r="A22" s="19" t="s">
        <v>167</v>
      </c>
      <c r="B22" s="841" t="s">
        <v>168</v>
      </c>
      <c r="C22" s="1065">
        <v>158038838</v>
      </c>
      <c r="D22" s="852"/>
    </row>
    <row r="23" spans="1:4" s="26" customFormat="1" ht="14.25" customHeight="1">
      <c r="A23" s="19" t="s">
        <v>169</v>
      </c>
      <c r="B23" s="841" t="s">
        <v>170</v>
      </c>
      <c r="C23" s="1065">
        <v>0</v>
      </c>
      <c r="D23" s="852"/>
    </row>
    <row r="24" spans="1:4" s="26" customFormat="1" ht="13.5" customHeight="1">
      <c r="A24" s="19" t="s">
        <v>171</v>
      </c>
      <c r="B24" s="841" t="s">
        <v>190</v>
      </c>
      <c r="C24" s="1065">
        <f>167876+1072828+968538+1520065+1322487+4987369+4496938+4411863+545269+12736471+42362</f>
        <v>32272066</v>
      </c>
      <c r="D24" s="852"/>
    </row>
    <row r="25" spans="1:4" s="26" customFormat="1" ht="14.25" customHeight="1">
      <c r="A25" s="19" t="s">
        <v>173</v>
      </c>
      <c r="B25" s="841" t="s">
        <v>155</v>
      </c>
      <c r="C25" s="1065">
        <f>4000+856388+1279700</f>
        <v>2140088</v>
      </c>
      <c r="D25" s="852"/>
    </row>
    <row r="26" spans="1:4" s="26" customFormat="1" ht="14.25" customHeight="1">
      <c r="A26" s="19" t="s">
        <v>174</v>
      </c>
      <c r="B26" s="841" t="s">
        <v>191</v>
      </c>
      <c r="C26" s="1065">
        <f>6799334+0</f>
        <v>6799334</v>
      </c>
      <c r="D26" s="852"/>
    </row>
    <row r="27" spans="1:4" s="26" customFormat="1" ht="14.25" customHeight="1">
      <c r="A27" s="19" t="s">
        <v>175</v>
      </c>
      <c r="B27" s="841" t="s">
        <v>158</v>
      </c>
      <c r="C27" s="1065">
        <v>0</v>
      </c>
      <c r="D27" s="852"/>
    </row>
    <row r="28" spans="1:4" s="26" customFormat="1" ht="14.25" customHeight="1">
      <c r="A28" s="19" t="s">
        <v>192</v>
      </c>
      <c r="B28" s="841" t="s">
        <v>193</v>
      </c>
      <c r="C28" s="1065">
        <v>0</v>
      </c>
      <c r="D28" s="852"/>
    </row>
    <row r="29" spans="1:4" s="26" customFormat="1" ht="13.5" customHeight="1">
      <c r="A29" s="842" t="s">
        <v>74</v>
      </c>
      <c r="B29" s="843" t="s">
        <v>572</v>
      </c>
      <c r="C29" s="1067">
        <f>'04'!C25</f>
        <v>343296748</v>
      </c>
      <c r="D29" s="852">
        <f>C30+C31+C32-C29</f>
        <v>0</v>
      </c>
    </row>
    <row r="30" spans="1:4" ht="15" customHeight="1">
      <c r="A30" s="19" t="s">
        <v>177</v>
      </c>
      <c r="B30" s="841" t="s">
        <v>168</v>
      </c>
      <c r="C30" s="1065">
        <f>507620+23112754+57289496+34828650+5263114+12095989+11092351+29927427+47949082+21514238+99263014</f>
        <v>342843735</v>
      </c>
      <c r="D30" s="834"/>
    </row>
    <row r="31" spans="1:4" s="26" customFormat="1" ht="13.5" customHeight="1">
      <c r="A31" s="19" t="s">
        <v>178</v>
      </c>
      <c r="B31" s="841" t="s">
        <v>170</v>
      </c>
      <c r="C31" s="1065">
        <v>0</v>
      </c>
      <c r="D31" s="818"/>
    </row>
    <row r="32" spans="1:4" s="26" customFormat="1" ht="12.75" customHeight="1" thickBot="1">
      <c r="A32" s="845" t="s">
        <v>179</v>
      </c>
      <c r="B32" s="846" t="s">
        <v>190</v>
      </c>
      <c r="C32" s="1068">
        <v>453013</v>
      </c>
      <c r="D32" s="818"/>
    </row>
    <row r="33" spans="1:3" s="407" customFormat="1" ht="14.25" customHeight="1" thickTop="1">
      <c r="A33" s="1538"/>
      <c r="B33" s="1538"/>
      <c r="C33" s="847" t="str">
        <f>'Thong tin'!B9</f>
        <v>Bình Thuận, ngày 04 tháng 10 năm 2016</v>
      </c>
    </row>
    <row r="34" spans="1:3" s="460" customFormat="1" ht="16.5" customHeight="1">
      <c r="A34" s="1539" t="s">
        <v>4</v>
      </c>
      <c r="B34" s="1539"/>
      <c r="C34" s="848" t="str">
        <f>'Thong tin'!B7</f>
        <v>KT. CỤC TRƯỞNG</v>
      </c>
    </row>
    <row r="35" spans="1:3" s="407" customFormat="1" ht="18" customHeight="1">
      <c r="A35" s="849"/>
      <c r="B35" s="850"/>
      <c r="C35" s="848" t="str">
        <f>'Thong tin'!B8</f>
        <v>PHÓ CỤC TRƯỞNG</v>
      </c>
    </row>
    <row r="36" spans="1:3" s="407" customFormat="1" ht="16.5">
      <c r="A36" s="849"/>
      <c r="B36" s="850"/>
      <c r="C36" s="850"/>
    </row>
    <row r="37" spans="1:3" s="407" customFormat="1" ht="16.5">
      <c r="A37" s="849"/>
      <c r="B37" s="849"/>
      <c r="C37" s="849"/>
    </row>
    <row r="38" spans="1:3" ht="16.5">
      <c r="A38" s="462"/>
      <c r="B38" s="850"/>
      <c r="C38" s="851"/>
    </row>
    <row r="39" spans="1:3" s="437" customFormat="1" ht="16.5">
      <c r="A39" s="1537" t="str">
        <f>'Thong tin'!B5</f>
        <v>Trần Quốc Bảo</v>
      </c>
      <c r="B39" s="1537"/>
      <c r="C39" s="820" t="str">
        <f>'Thong tin'!B6</f>
        <v>Trần Nam</v>
      </c>
    </row>
  </sheetData>
  <sheetProtection/>
  <mergeCells count="6">
    <mergeCell ref="A2:B2"/>
    <mergeCell ref="A1:C1"/>
    <mergeCell ref="A3:B3"/>
    <mergeCell ref="A39:B39"/>
    <mergeCell ref="A33:B33"/>
    <mergeCell ref="A34:B34"/>
  </mergeCells>
  <printOptions/>
  <pageMargins left="0" right="0" top="0" bottom="0" header="0.5" footer="0.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0"/>
  <sheetViews>
    <sheetView showZeros="0" view="pageBreakPreview" zoomScaleNormal="80" zoomScaleSheetLayoutView="100" zoomScalePageLayoutView="0" workbookViewId="0" topLeftCell="A7">
      <selection activeCell="K13" sqref="K13"/>
    </sheetView>
  </sheetViews>
  <sheetFormatPr defaultColWidth="9.00390625" defaultRowHeight="15.75"/>
  <cols>
    <col min="1" max="1" width="3.25390625" style="465" customWidth="1"/>
    <col min="2" max="2" width="19.875" style="465" customWidth="1"/>
    <col min="3" max="3" width="13.375" style="465" customWidth="1"/>
    <col min="4" max="4" width="12.125" style="465" customWidth="1"/>
    <col min="5" max="5" width="11.375" style="465" customWidth="1"/>
    <col min="6" max="7" width="9.375" style="465" customWidth="1"/>
    <col min="8" max="8" width="9.625" style="465" customWidth="1"/>
    <col min="9" max="10" width="9.375" style="465" customWidth="1"/>
    <col min="11" max="12" width="12.25390625" style="465" customWidth="1"/>
    <col min="13" max="13" width="11.375" style="464" hidden="1" customWidth="1"/>
    <col min="14" max="14" width="18.125" style="464" hidden="1" customWidth="1"/>
    <col min="15" max="15" width="10.875" style="464" hidden="1" customWidth="1"/>
    <col min="16" max="16" width="13.25390625" style="464" hidden="1" customWidth="1"/>
    <col min="17" max="17" width="0" style="464" hidden="1" customWidth="1"/>
    <col min="18" max="18" width="9.50390625" style="464" hidden="1" customWidth="1"/>
    <col min="19" max="16384" width="9.00390625" style="465" customWidth="1"/>
  </cols>
  <sheetData>
    <row r="1" spans="1:13" ht="21" customHeight="1">
      <c r="A1" s="1555" t="s">
        <v>33</v>
      </c>
      <c r="B1" s="1556"/>
      <c r="C1" s="462"/>
      <c r="D1" s="1537" t="s">
        <v>79</v>
      </c>
      <c r="E1" s="1537"/>
      <c r="F1" s="1537"/>
      <c r="G1" s="1537"/>
      <c r="H1" s="1537"/>
      <c r="I1" s="1537"/>
      <c r="J1" s="1537"/>
      <c r="K1" s="1558" t="s">
        <v>555</v>
      </c>
      <c r="L1" s="1558"/>
      <c r="M1" s="463"/>
    </row>
    <row r="2" spans="1:13" ht="16.5" customHeight="1">
      <c r="A2" s="1526" t="s">
        <v>342</v>
      </c>
      <c r="B2" s="1526"/>
      <c r="C2" s="1526"/>
      <c r="D2" s="1537" t="s">
        <v>216</v>
      </c>
      <c r="E2" s="1537"/>
      <c r="F2" s="1537"/>
      <c r="G2" s="1537"/>
      <c r="H2" s="1537"/>
      <c r="I2" s="1537"/>
      <c r="J2" s="1537"/>
      <c r="K2" s="1559" t="str">
        <f>'Thong tin'!B4</f>
        <v>Cục THADS tỉnh Bình Thuận</v>
      </c>
      <c r="L2" s="1559"/>
      <c r="M2" s="466"/>
    </row>
    <row r="3" spans="1:13" ht="16.5" customHeight="1">
      <c r="A3" s="1526" t="s">
        <v>343</v>
      </c>
      <c r="B3" s="1526"/>
      <c r="C3" s="413"/>
      <c r="D3" s="1557" t="str">
        <f>'Thong tin'!B3</f>
        <v>12 tháng / năm 2016</v>
      </c>
      <c r="E3" s="1557"/>
      <c r="F3" s="1557"/>
      <c r="G3" s="1557"/>
      <c r="H3" s="1557"/>
      <c r="I3" s="1557"/>
      <c r="J3" s="1557"/>
      <c r="K3" s="1558" t="s">
        <v>521</v>
      </c>
      <c r="L3" s="1558"/>
      <c r="M3" s="463"/>
    </row>
    <row r="4" spans="1:13" ht="13.5" customHeight="1">
      <c r="A4" s="432" t="s">
        <v>119</v>
      </c>
      <c r="B4" s="432"/>
      <c r="C4" s="418"/>
      <c r="D4" s="467"/>
      <c r="E4" s="467"/>
      <c r="F4" s="468"/>
      <c r="G4" s="468"/>
      <c r="H4" s="468"/>
      <c r="I4" s="468"/>
      <c r="J4" s="468"/>
      <c r="K4" s="1559" t="s">
        <v>410</v>
      </c>
      <c r="L4" s="1559"/>
      <c r="M4" s="466"/>
    </row>
    <row r="5" spans="1:13" ht="14.25" customHeight="1">
      <c r="A5" s="467"/>
      <c r="B5" s="467" t="s">
        <v>94</v>
      </c>
      <c r="C5" s="467"/>
      <c r="D5" s="467"/>
      <c r="E5" s="1554" t="s">
        <v>520</v>
      </c>
      <c r="F5" s="1554"/>
      <c r="G5" s="1554"/>
      <c r="H5" s="1554"/>
      <c r="I5" s="1554"/>
      <c r="J5" s="467"/>
      <c r="K5" s="1563" t="s">
        <v>195</v>
      </c>
      <c r="L5" s="1563"/>
      <c r="M5" s="463"/>
    </row>
    <row r="6" spans="1:16" ht="18" customHeight="1">
      <c r="A6" s="1256" t="s">
        <v>71</v>
      </c>
      <c r="B6" s="1257"/>
      <c r="C6" s="1542" t="s">
        <v>38</v>
      </c>
      <c r="D6" s="1564" t="s">
        <v>339</v>
      </c>
      <c r="E6" s="1564"/>
      <c r="F6" s="1564"/>
      <c r="G6" s="1564"/>
      <c r="H6" s="1564"/>
      <c r="I6" s="1564"/>
      <c r="J6" s="1564"/>
      <c r="K6" s="1564"/>
      <c r="L6" s="1564"/>
      <c r="M6" s="466"/>
      <c r="N6" s="1591" t="s">
        <v>517</v>
      </c>
      <c r="O6" s="1591"/>
      <c r="P6" s="1591"/>
    </row>
    <row r="7" spans="1:13" ht="18.75" customHeight="1">
      <c r="A7" s="1258"/>
      <c r="B7" s="1259"/>
      <c r="C7" s="1542"/>
      <c r="D7" s="1565" t="s">
        <v>207</v>
      </c>
      <c r="E7" s="1566"/>
      <c r="F7" s="1566"/>
      <c r="G7" s="1566"/>
      <c r="H7" s="1566"/>
      <c r="I7" s="1566"/>
      <c r="J7" s="1567"/>
      <c r="K7" s="1568" t="s">
        <v>208</v>
      </c>
      <c r="L7" s="1568" t="s">
        <v>209</v>
      </c>
      <c r="M7" s="463"/>
    </row>
    <row r="8" spans="1:13" ht="16.5" customHeight="1">
      <c r="A8" s="1258"/>
      <c r="B8" s="1259"/>
      <c r="C8" s="1542"/>
      <c r="D8" s="1543" t="s">
        <v>37</v>
      </c>
      <c r="E8" s="1551" t="s">
        <v>7</v>
      </c>
      <c r="F8" s="1552"/>
      <c r="G8" s="1552"/>
      <c r="H8" s="1552"/>
      <c r="I8" s="1552"/>
      <c r="J8" s="1553"/>
      <c r="K8" s="1569"/>
      <c r="L8" s="1571"/>
      <c r="M8" s="463"/>
    </row>
    <row r="9" spans="1:16" ht="17.25" customHeight="1">
      <c r="A9" s="1546"/>
      <c r="B9" s="1547"/>
      <c r="C9" s="1542"/>
      <c r="D9" s="1543"/>
      <c r="E9" s="504" t="s">
        <v>210</v>
      </c>
      <c r="F9" s="504" t="s">
        <v>211</v>
      </c>
      <c r="G9" s="504" t="s">
        <v>212</v>
      </c>
      <c r="H9" s="504" t="s">
        <v>213</v>
      </c>
      <c r="I9" s="504" t="s">
        <v>344</v>
      </c>
      <c r="J9" s="504" t="s">
        <v>214</v>
      </c>
      <c r="K9" s="1570"/>
      <c r="L9" s="1572"/>
      <c r="M9" s="1540" t="s">
        <v>500</v>
      </c>
      <c r="N9" s="1540"/>
      <c r="O9" s="1540"/>
      <c r="P9" s="1540"/>
    </row>
    <row r="10" spans="1:18" s="475" customFormat="1" ht="13.5" customHeight="1">
      <c r="A10" s="1544" t="s">
        <v>6</v>
      </c>
      <c r="B10" s="1545"/>
      <c r="C10" s="470">
        <v>1</v>
      </c>
      <c r="D10" s="471">
        <v>2</v>
      </c>
      <c r="E10" s="470">
        <v>3</v>
      </c>
      <c r="F10" s="471">
        <v>4</v>
      </c>
      <c r="G10" s="470">
        <v>5</v>
      </c>
      <c r="H10" s="471">
        <v>6</v>
      </c>
      <c r="I10" s="470">
        <v>7</v>
      </c>
      <c r="J10" s="471">
        <v>8</v>
      </c>
      <c r="K10" s="470">
        <v>9</v>
      </c>
      <c r="L10" s="471">
        <v>10</v>
      </c>
      <c r="M10" s="472" t="s">
        <v>501</v>
      </c>
      <c r="N10" s="473" t="s">
        <v>504</v>
      </c>
      <c r="O10" s="473" t="s">
        <v>502</v>
      </c>
      <c r="P10" s="473" t="s">
        <v>503</v>
      </c>
      <c r="Q10" s="474"/>
      <c r="R10" s="474"/>
    </row>
    <row r="11" spans="1:18" s="476" customFormat="1" ht="18" customHeight="1">
      <c r="A11" s="814" t="s">
        <v>0</v>
      </c>
      <c r="B11" s="815" t="s">
        <v>131</v>
      </c>
      <c r="C11" s="854">
        <f>C12+C13</f>
        <v>1354210013</v>
      </c>
      <c r="D11" s="854">
        <f aca="true" t="shared" si="0" ref="D11:L11">D12+D13</f>
        <v>42142827</v>
      </c>
      <c r="E11" s="854">
        <f t="shared" si="0"/>
        <v>29895505</v>
      </c>
      <c r="F11" s="854">
        <f t="shared" si="0"/>
        <v>163905</v>
      </c>
      <c r="G11" s="854">
        <f t="shared" si="0"/>
        <v>3497548</v>
      </c>
      <c r="H11" s="854">
        <f t="shared" si="0"/>
        <v>6161225</v>
      </c>
      <c r="I11" s="854">
        <f t="shared" si="0"/>
        <v>1104132</v>
      </c>
      <c r="J11" s="854">
        <f t="shared" si="0"/>
        <v>1320512</v>
      </c>
      <c r="K11" s="854">
        <f t="shared" si="0"/>
        <v>627508100</v>
      </c>
      <c r="L11" s="854">
        <f t="shared" si="0"/>
        <v>684559086</v>
      </c>
      <c r="M11" s="404">
        <f>'03'!C11+'04'!C11</f>
        <v>1354210013</v>
      </c>
      <c r="N11" s="404">
        <f>C11-M11</f>
        <v>0</v>
      </c>
      <c r="O11" s="404">
        <f>'07'!C11</f>
        <v>1354210013</v>
      </c>
      <c r="P11" s="404">
        <f>C11-O11</f>
        <v>0</v>
      </c>
      <c r="Q11" s="390"/>
      <c r="R11" s="390"/>
    </row>
    <row r="12" spans="1:18" s="476" customFormat="1" ht="16.5" customHeight="1">
      <c r="A12" s="428">
        <v>1</v>
      </c>
      <c r="B12" s="807" t="s">
        <v>132</v>
      </c>
      <c r="C12" s="854">
        <f>D12+K12+L12</f>
        <v>841089114</v>
      </c>
      <c r="D12" s="855">
        <f>E12+F12+G12+H12+I12+J12</f>
        <v>23914176</v>
      </c>
      <c r="E12" s="856">
        <f>73977+918626+914279+1380249+400797+1002312+180485+1091702+1820862+4892390+2906927+123223-367133</f>
        <v>15338696</v>
      </c>
      <c r="F12" s="856">
        <f>103990</f>
        <v>103990</v>
      </c>
      <c r="G12" s="856">
        <f>113850+525830+118710+100064+8000+110310+225233+20000+1256581+84600+5000</f>
        <v>2568178</v>
      </c>
      <c r="H12" s="856">
        <f>98452+207301+128013+351624+9300+207468+155956+62310+955073+957674+41740+1536546</f>
        <v>4711457</v>
      </c>
      <c r="I12" s="856">
        <f>492882+158065+167619+53308+57285</f>
        <v>929159</v>
      </c>
      <c r="J12" s="856">
        <f>2999+178003+2215+43294+36185</f>
        <v>262696</v>
      </c>
      <c r="K12" s="856">
        <f>20730439+53283744+64248842+124001+4499750+4797083+15222758+39155709+223295116+69856689+37802772-17978311-98071148</f>
        <v>416967444</v>
      </c>
      <c r="L12" s="856">
        <f>15337675+256498292+37888107+24706537+26964571+17192763+3203354+22722985+25133545+11233184+1819975+2230426-44723920</f>
        <v>400207494</v>
      </c>
      <c r="M12" s="406">
        <f>'03'!C12+'04'!C12</f>
        <v>841089114</v>
      </c>
      <c r="N12" s="406">
        <f aca="true" t="shared" si="1" ref="N12:N26">C12-M12</f>
        <v>0</v>
      </c>
      <c r="O12" s="406">
        <f>'07'!D11</f>
        <v>841089114</v>
      </c>
      <c r="P12" s="406">
        <f aca="true" t="shared" si="2" ref="P12:P26">C12-O12</f>
        <v>0</v>
      </c>
      <c r="Q12" s="402"/>
      <c r="R12" s="427"/>
    </row>
    <row r="13" spans="1:18" s="476" customFormat="1" ht="15.75" customHeight="1">
      <c r="A13" s="428">
        <v>2</v>
      </c>
      <c r="B13" s="807" t="s">
        <v>133</v>
      </c>
      <c r="C13" s="854">
        <f>D13+K13+L13</f>
        <v>513120899</v>
      </c>
      <c r="D13" s="855">
        <f>E13+F13+G13+H13+I13+J13</f>
        <v>18228651</v>
      </c>
      <c r="E13" s="857">
        <f>1133909+2814493+1893073+2283597+601967+833177+570239+1886413+1949031+539668+51621+0-379</f>
        <v>14556809</v>
      </c>
      <c r="F13" s="857">
        <f>59215+300+400</f>
        <v>59915</v>
      </c>
      <c r="G13" s="857">
        <f>50000+32878+15122+21751+20000+69807+58390+8000+615850+25000+12572</f>
        <v>929370</v>
      </c>
      <c r="H13" s="857">
        <f>533994+190140+236735+86853+107322+28957+46046+183241+36480+0</f>
        <v>1449768</v>
      </c>
      <c r="I13" s="857">
        <f>22500+10000+92473+50000</f>
        <v>174973</v>
      </c>
      <c r="J13" s="857">
        <f>575350+1+51533+336770+29454+64708+0</f>
        <v>1057816</v>
      </c>
      <c r="K13" s="857">
        <f>208906+1314818+13814076+418100+763595+11868566+12068012+9403849+2529813+42958585+123234700-8042364</f>
        <v>210540656</v>
      </c>
      <c r="L13" s="857">
        <f>41892130+52356332+40198598+33633489+7676744+23939981+9761132+23559566+29764928+21446592+122100+0</f>
        <v>284351592</v>
      </c>
      <c r="M13" s="406">
        <f>'03'!C13+'04'!C13</f>
        <v>513120899</v>
      </c>
      <c r="N13" s="406">
        <f t="shared" si="1"/>
        <v>0</v>
      </c>
      <c r="O13" s="406">
        <f>'07'!E11</f>
        <v>513120899</v>
      </c>
      <c r="P13" s="406">
        <f t="shared" si="2"/>
        <v>0</v>
      </c>
      <c r="Q13" s="402"/>
      <c r="R13" s="427"/>
    </row>
    <row r="14" spans="1:18" s="476" customFormat="1" ht="15.75" customHeight="1">
      <c r="A14" s="808" t="s">
        <v>1</v>
      </c>
      <c r="B14" s="809" t="s">
        <v>134</v>
      </c>
      <c r="C14" s="1014">
        <f>D14+K14+L14</f>
        <v>48649822</v>
      </c>
      <c r="D14" s="1015">
        <f>E14+F14+G14+H14+I14+J14</f>
        <v>1646526</v>
      </c>
      <c r="E14" s="1016">
        <f>200+34802+86095+44583+41366+800+38540+7162+41564+52340+285335+0</f>
        <v>632787</v>
      </c>
      <c r="F14" s="1016">
        <v>0</v>
      </c>
      <c r="G14" s="1016">
        <f>15200+10000+2790+0</f>
        <v>27990</v>
      </c>
      <c r="H14" s="1016">
        <f>2360+19300+700+150122+43994+0+768273</f>
        <v>984749</v>
      </c>
      <c r="I14" s="1016">
        <f>1000</f>
        <v>1000</v>
      </c>
      <c r="J14" s="1016">
        <v>0</v>
      </c>
      <c r="K14" s="1016">
        <f>5354651+24049669+0</f>
        <v>29404320</v>
      </c>
      <c r="L14" s="1016">
        <f>1356000+340934+1495244+100445+181500+1024600+510773+115120+11821622+417411+235327</f>
        <v>17598976</v>
      </c>
      <c r="M14" s="406">
        <f>'03'!C14+'04'!C14</f>
        <v>48649822</v>
      </c>
      <c r="N14" s="406">
        <f t="shared" si="1"/>
        <v>0</v>
      </c>
      <c r="O14" s="406">
        <f>'07'!F11</f>
        <v>48649822</v>
      </c>
      <c r="P14" s="406">
        <f t="shared" si="2"/>
        <v>0</v>
      </c>
      <c r="Q14" s="390"/>
      <c r="R14" s="427"/>
    </row>
    <row r="15" spans="1:18" s="476" customFormat="1" ht="15" customHeight="1">
      <c r="A15" s="808" t="s">
        <v>9</v>
      </c>
      <c r="B15" s="809" t="s">
        <v>135</v>
      </c>
      <c r="C15" s="1014">
        <f>D15+K15+L15</f>
        <v>151204565</v>
      </c>
      <c r="D15" s="1015">
        <f>E15+F15+G15+H15+I15+J15</f>
        <v>367133</v>
      </c>
      <c r="E15" s="1016">
        <f>131274+43471+45120+4511+142757+0</f>
        <v>367133</v>
      </c>
      <c r="F15" s="1016">
        <v>0</v>
      </c>
      <c r="G15" s="1016">
        <v>0</v>
      </c>
      <c r="H15" s="1016">
        <v>0</v>
      </c>
      <c r="I15" s="1016">
        <v>0</v>
      </c>
      <c r="J15" s="1016">
        <v>0</v>
      </c>
      <c r="K15" s="1016">
        <f>20634084+1466156+84282905+0-269633</f>
        <v>106113512</v>
      </c>
      <c r="L15" s="1016">
        <f>6879919+11720925+22239892+888085+2995099+0</f>
        <v>44723920</v>
      </c>
      <c r="M15" s="406">
        <f>'03'!C15+'04'!C15</f>
        <v>151204565</v>
      </c>
      <c r="N15" s="406">
        <f t="shared" si="1"/>
        <v>0</v>
      </c>
      <c r="O15" s="406">
        <f>'07'!G11</f>
        <v>151204565</v>
      </c>
      <c r="P15" s="406">
        <f t="shared" si="2"/>
        <v>0</v>
      </c>
      <c r="Q15" s="390"/>
      <c r="R15" s="390"/>
    </row>
    <row r="16" spans="1:18" s="476" customFormat="1" ht="19.5" customHeight="1">
      <c r="A16" s="805" t="s">
        <v>136</v>
      </c>
      <c r="B16" s="810" t="s">
        <v>137</v>
      </c>
      <c r="C16" s="858">
        <f>C17+C26</f>
        <v>1305560191</v>
      </c>
      <c r="D16" s="858">
        <f aca="true" t="shared" si="3" ref="D16:L16">D17+D26</f>
        <v>40496301</v>
      </c>
      <c r="E16" s="858">
        <f t="shared" si="3"/>
        <v>29262718</v>
      </c>
      <c r="F16" s="858">
        <f t="shared" si="3"/>
        <v>163905</v>
      </c>
      <c r="G16" s="858">
        <f t="shared" si="3"/>
        <v>3469558</v>
      </c>
      <c r="H16" s="858">
        <f t="shared" si="3"/>
        <v>5176476</v>
      </c>
      <c r="I16" s="858">
        <f>I17+I26</f>
        <v>1103132</v>
      </c>
      <c r="J16" s="858">
        <f t="shared" si="3"/>
        <v>1320512</v>
      </c>
      <c r="K16" s="858">
        <f t="shared" si="3"/>
        <v>598103780</v>
      </c>
      <c r="L16" s="854">
        <f t="shared" si="3"/>
        <v>666960110</v>
      </c>
      <c r="M16" s="404">
        <f>'03'!C16+'04'!C16</f>
        <v>1305560191</v>
      </c>
      <c r="N16" s="404">
        <f t="shared" si="1"/>
        <v>0</v>
      </c>
      <c r="O16" s="404">
        <f>'07'!H11</f>
        <v>1305560191</v>
      </c>
      <c r="P16" s="404">
        <f t="shared" si="2"/>
        <v>0</v>
      </c>
      <c r="Q16" s="390"/>
      <c r="R16" s="390"/>
    </row>
    <row r="17" spans="1:18" s="476" customFormat="1" ht="18.75" customHeight="1">
      <c r="A17" s="805" t="s">
        <v>52</v>
      </c>
      <c r="B17" s="816" t="s">
        <v>138</v>
      </c>
      <c r="C17" s="854">
        <f>C18+C19+C20+C21+C22+C23+C24+C25</f>
        <v>951243589</v>
      </c>
      <c r="D17" s="854">
        <f aca="true" t="shared" si="4" ref="D17:L17">D18+D19+D20+D21+D22+D23+D24+D25</f>
        <v>29338463</v>
      </c>
      <c r="E17" s="854">
        <f t="shared" si="4"/>
        <v>22862789</v>
      </c>
      <c r="F17" s="854">
        <f t="shared" si="4"/>
        <v>98268</v>
      </c>
      <c r="G17" s="854">
        <f t="shared" si="4"/>
        <v>2585429</v>
      </c>
      <c r="H17" s="854">
        <f t="shared" si="4"/>
        <v>2065643</v>
      </c>
      <c r="I17" s="854">
        <f t="shared" si="4"/>
        <v>609629</v>
      </c>
      <c r="J17" s="854">
        <f t="shared" si="4"/>
        <v>1116705</v>
      </c>
      <c r="K17" s="854">
        <f t="shared" si="4"/>
        <v>418002794</v>
      </c>
      <c r="L17" s="854">
        <f t="shared" si="4"/>
        <v>503902332</v>
      </c>
      <c r="M17" s="404">
        <f>'03'!C17+'04'!C17</f>
        <v>951243589</v>
      </c>
      <c r="N17" s="404">
        <f t="shared" si="1"/>
        <v>0</v>
      </c>
      <c r="O17" s="404">
        <f>'07'!I11</f>
        <v>951243589</v>
      </c>
      <c r="P17" s="404">
        <f t="shared" si="2"/>
        <v>0</v>
      </c>
      <c r="Q17" s="390"/>
      <c r="R17" s="390"/>
    </row>
    <row r="18" spans="1:18" s="476" customFormat="1" ht="15.75" customHeight="1">
      <c r="A18" s="428" t="s">
        <v>54</v>
      </c>
      <c r="B18" s="807" t="s">
        <v>139</v>
      </c>
      <c r="C18" s="854">
        <f>D18+K18+L18</f>
        <v>140225790</v>
      </c>
      <c r="D18" s="859">
        <f>E18+F18+G18+H18+I18+J18</f>
        <v>13528137</v>
      </c>
      <c r="E18" s="860">
        <f>56772+374165+1273463+1022302+359837+723280+240179+1785419+1748190+1978456+917329+0</f>
        <v>10479392</v>
      </c>
      <c r="F18" s="860">
        <f>80449+300+200</f>
        <v>80949</v>
      </c>
      <c r="G18" s="860">
        <f>50000+25350+10000+1845+8000+49537+59660+5000+163436+29400+11372</f>
        <v>413600</v>
      </c>
      <c r="H18" s="860">
        <f>231287+79472+182008+173008+87406+28257+84250+135121+79309+0+207339</f>
        <v>1287457</v>
      </c>
      <c r="I18" s="860">
        <f>50000+58158+57285+860+0</f>
        <v>166303</v>
      </c>
      <c r="J18" s="860">
        <f>608935+1+39035+329472+57285+65708+0</f>
        <v>1100436</v>
      </c>
      <c r="K18" s="860">
        <f>8810034+15311460+9500000+3995630+946777+2375760+719229+9788922+5157818+462478+208906</f>
        <v>57277014</v>
      </c>
      <c r="L18" s="860">
        <f>176128+3496002+2915778+4518962+1782003+7989008+1636210+9418103+8833799+23804403+4850243</f>
        <v>69420639</v>
      </c>
      <c r="M18" s="406">
        <f>'03'!C18+'04'!C18</f>
        <v>140225790</v>
      </c>
      <c r="N18" s="406">
        <f t="shared" si="1"/>
        <v>0</v>
      </c>
      <c r="O18" s="406">
        <f>'07'!J11</f>
        <v>140225790</v>
      </c>
      <c r="P18" s="406">
        <f t="shared" si="2"/>
        <v>0</v>
      </c>
      <c r="Q18" s="390"/>
      <c r="R18" s="390"/>
    </row>
    <row r="19" spans="1:18" s="476" customFormat="1" ht="16.5" customHeight="1">
      <c r="A19" s="428" t="s">
        <v>55</v>
      </c>
      <c r="B19" s="807" t="s">
        <v>140</v>
      </c>
      <c r="C19" s="854">
        <f aca="true" t="shared" si="5" ref="C19:C26">D19+K19+L19</f>
        <v>200183460</v>
      </c>
      <c r="D19" s="859">
        <f aca="true" t="shared" si="6" ref="D19:D26">E19+F19+G19+H19+I19+J19</f>
        <v>979314</v>
      </c>
      <c r="E19" s="860">
        <f>53549+664140+20960+14452+44530+8826+1100+33824+0</f>
        <v>841381</v>
      </c>
      <c r="F19" s="860">
        <v>0</v>
      </c>
      <c r="G19" s="860">
        <f>2500+24382+4000+0</f>
        <v>30882</v>
      </c>
      <c r="H19" s="860">
        <f>9609+4850+49672+12950+0+27813</f>
        <v>104894</v>
      </c>
      <c r="I19" s="860"/>
      <c r="J19" s="860">
        <v>2157</v>
      </c>
      <c r="K19" s="860">
        <f>9512+76845+2930504+3614975+472181+38231672+9787740+0</f>
        <v>55123429</v>
      </c>
      <c r="L19" s="860">
        <f>619918+130482324+1133528+3939682+881963+2056865+1322487+1520065+892693+1063316+167876+0</f>
        <v>144080717</v>
      </c>
      <c r="M19" s="406">
        <f>'03'!C19+'04'!C19</f>
        <v>200183460</v>
      </c>
      <c r="N19" s="406">
        <f t="shared" si="1"/>
        <v>0</v>
      </c>
      <c r="O19" s="406">
        <f>'07'!K11</f>
        <v>200183460</v>
      </c>
      <c r="P19" s="406">
        <f t="shared" si="2"/>
        <v>0</v>
      </c>
      <c r="Q19" s="390"/>
      <c r="R19" s="390"/>
    </row>
    <row r="20" spans="1:18" s="476" customFormat="1" ht="17.25" customHeight="1">
      <c r="A20" s="428" t="s">
        <v>141</v>
      </c>
      <c r="B20" s="807" t="s">
        <v>202</v>
      </c>
      <c r="C20" s="854">
        <f t="shared" si="5"/>
        <v>35966</v>
      </c>
      <c r="D20" s="859">
        <f t="shared" si="6"/>
        <v>35966</v>
      </c>
      <c r="E20" s="860">
        <f>17918+17685+3882+3300+1906-19913</f>
        <v>24778</v>
      </c>
      <c r="F20" s="860">
        <v>0</v>
      </c>
      <c r="G20" s="860">
        <v>2990</v>
      </c>
      <c r="H20" s="860">
        <f>2500+1995</f>
        <v>4495</v>
      </c>
      <c r="I20" s="860">
        <v>3703</v>
      </c>
      <c r="J20" s="860">
        <v>0</v>
      </c>
      <c r="K20" s="860">
        <v>0</v>
      </c>
      <c r="L20" s="860">
        <v>0</v>
      </c>
      <c r="M20" s="406">
        <f>'03'!C20</f>
        <v>35966</v>
      </c>
      <c r="N20" s="406">
        <f t="shared" si="1"/>
        <v>0</v>
      </c>
      <c r="O20" s="406">
        <f>'07'!L11</f>
        <v>35966</v>
      </c>
      <c r="P20" s="406">
        <f t="shared" si="2"/>
        <v>0</v>
      </c>
      <c r="Q20" s="390"/>
      <c r="R20" s="390"/>
    </row>
    <row r="21" spans="1:18" s="476" customFormat="1" ht="17.25" customHeight="1">
      <c r="A21" s="428" t="s">
        <v>143</v>
      </c>
      <c r="B21" s="807" t="s">
        <v>142</v>
      </c>
      <c r="C21" s="854">
        <f t="shared" si="5"/>
        <v>549761802</v>
      </c>
      <c r="D21" s="859">
        <f t="shared" si="6"/>
        <v>13722417</v>
      </c>
      <c r="E21" s="860">
        <f>15239+565763+1296299+1356757+354117+738898+88002+539103+692961+3350508+1467462+0</f>
        <v>10465109</v>
      </c>
      <c r="F21" s="860">
        <f>17119+200</f>
        <v>17319</v>
      </c>
      <c r="G21" s="860">
        <f>45850+157341+58092+30253+20000+14748+117598+22000+579975+51000+6200+0+1015900</f>
        <v>2118957</v>
      </c>
      <c r="H21" s="860">
        <f>7928+34624+191209+117598+88727+33529+66216+234396+449807+41740-598477</f>
        <v>667297</v>
      </c>
      <c r="I21" s="860">
        <f>167429+1973+47754+222467+0</f>
        <v>439623</v>
      </c>
      <c r="J21" s="860">
        <f>2600+9513+1999</f>
        <v>14112</v>
      </c>
      <c r="K21" s="860">
        <f>83178346+113465216+2458638+9017200+2298725+10214191+127270+44065399+15630327+2729034+0</f>
        <v>283184346</v>
      </c>
      <c r="L21" s="860">
        <f>1086851+21982854+15325538+14188651+4440437+17716801+7612033+17443666+14346319+111567655+27144234+0</f>
        <v>252855039</v>
      </c>
      <c r="M21" s="406">
        <f>'03'!C21+'04'!C20</f>
        <v>549761802</v>
      </c>
      <c r="N21" s="406">
        <f t="shared" si="1"/>
        <v>0</v>
      </c>
      <c r="O21" s="406">
        <f>'07'!M11</f>
        <v>549761802</v>
      </c>
      <c r="P21" s="406">
        <f t="shared" si="2"/>
        <v>0</v>
      </c>
      <c r="Q21" s="390"/>
      <c r="R21" s="390"/>
    </row>
    <row r="22" spans="1:18" s="476" customFormat="1" ht="17.25" customHeight="1">
      <c r="A22" s="428" t="s">
        <v>145</v>
      </c>
      <c r="B22" s="807" t="s">
        <v>144</v>
      </c>
      <c r="C22" s="854">
        <f t="shared" si="5"/>
        <v>23827042</v>
      </c>
      <c r="D22" s="859">
        <f t="shared" si="6"/>
        <v>224712</v>
      </c>
      <c r="E22" s="857">
        <f>57260+95636+11281+5718+17966+10689+5662+0</f>
        <v>204212</v>
      </c>
      <c r="F22" s="857">
        <v>0</v>
      </c>
      <c r="G22" s="857">
        <v>19000</v>
      </c>
      <c r="H22" s="857">
        <f>1500</f>
        <v>1500</v>
      </c>
      <c r="I22" s="857">
        <v>0</v>
      </c>
      <c r="J22" s="857">
        <v>0</v>
      </c>
      <c r="K22" s="857">
        <f>261195+2016255+4642866</f>
        <v>6920316</v>
      </c>
      <c r="L22" s="857">
        <f>693329+11805133+301019+2414069+158884+677297+56000+3600+56000+513083+3600</f>
        <v>16682014</v>
      </c>
      <c r="M22" s="406">
        <f>'03'!C22+'04'!C21</f>
        <v>23827042</v>
      </c>
      <c r="N22" s="406">
        <f t="shared" si="1"/>
        <v>0</v>
      </c>
      <c r="O22" s="406">
        <f>'07'!N11</f>
        <v>23827042</v>
      </c>
      <c r="P22" s="406">
        <f t="shared" si="2"/>
        <v>0</v>
      </c>
      <c r="Q22" s="390"/>
      <c r="R22" s="390"/>
    </row>
    <row r="23" spans="1:18" s="476" customFormat="1" ht="16.5" customHeight="1">
      <c r="A23" s="428" t="s">
        <v>147</v>
      </c>
      <c r="B23" s="807" t="s">
        <v>146</v>
      </c>
      <c r="C23" s="854">
        <f t="shared" si="5"/>
        <v>12720575</v>
      </c>
      <c r="D23" s="859">
        <f t="shared" si="6"/>
        <v>79203</v>
      </c>
      <c r="E23" s="860">
        <f>13420+65783</f>
        <v>79203</v>
      </c>
      <c r="F23" s="860">
        <v>0</v>
      </c>
      <c r="G23" s="860">
        <v>0</v>
      </c>
      <c r="H23" s="860">
        <v>0</v>
      </c>
      <c r="I23" s="860">
        <v>0</v>
      </c>
      <c r="J23" s="860">
        <v>0</v>
      </c>
      <c r="K23" s="860">
        <f>9401531+0</f>
        <v>9401531</v>
      </c>
      <c r="L23" s="860">
        <f>2773979+465862</f>
        <v>3239841</v>
      </c>
      <c r="M23" s="406">
        <f>'03'!C23+'04'!C22</f>
        <v>12720575</v>
      </c>
      <c r="N23" s="406">
        <f t="shared" si="1"/>
        <v>0</v>
      </c>
      <c r="O23" s="406">
        <f>'07'!O11</f>
        <v>12720575</v>
      </c>
      <c r="P23" s="406">
        <f t="shared" si="2"/>
        <v>0</v>
      </c>
      <c r="Q23" s="390"/>
      <c r="R23" s="390"/>
    </row>
    <row r="24" spans="1:18" s="476" customFormat="1" ht="21" customHeight="1">
      <c r="A24" s="428" t="s">
        <v>149</v>
      </c>
      <c r="B24" s="431" t="s">
        <v>148</v>
      </c>
      <c r="C24" s="854">
        <f t="shared" si="5"/>
        <v>353094</v>
      </c>
      <c r="D24" s="859">
        <f t="shared" si="6"/>
        <v>0</v>
      </c>
      <c r="E24" s="860">
        <v>0</v>
      </c>
      <c r="F24" s="860">
        <v>0</v>
      </c>
      <c r="G24" s="860">
        <v>0</v>
      </c>
      <c r="H24" s="860">
        <v>0</v>
      </c>
      <c r="I24" s="860">
        <v>0</v>
      </c>
      <c r="J24" s="860">
        <v>0</v>
      </c>
      <c r="K24" s="860">
        <v>353094</v>
      </c>
      <c r="L24" s="860">
        <v>0</v>
      </c>
      <c r="M24" s="406">
        <f>'03'!C24+'04'!C23</f>
        <v>353094</v>
      </c>
      <c r="N24" s="406">
        <f t="shared" si="1"/>
        <v>0</v>
      </c>
      <c r="O24" s="406">
        <f>'07'!P11</f>
        <v>353094</v>
      </c>
      <c r="P24" s="406">
        <f t="shared" si="2"/>
        <v>0</v>
      </c>
      <c r="Q24" s="390"/>
      <c r="R24" s="390"/>
    </row>
    <row r="25" spans="1:18" s="476" customFormat="1" ht="17.25" customHeight="1">
      <c r="A25" s="428" t="s">
        <v>186</v>
      </c>
      <c r="B25" s="807" t="s">
        <v>150</v>
      </c>
      <c r="C25" s="854">
        <f t="shared" si="5"/>
        <v>24135860</v>
      </c>
      <c r="D25" s="859">
        <f t="shared" si="6"/>
        <v>768714</v>
      </c>
      <c r="E25" s="857">
        <f>2679+330606+212992+222437+0</f>
        <v>768714</v>
      </c>
      <c r="F25" s="857">
        <v>0</v>
      </c>
      <c r="G25" s="857">
        <v>0</v>
      </c>
      <c r="H25" s="857">
        <v>0</v>
      </c>
      <c r="I25" s="857">
        <v>0</v>
      </c>
      <c r="J25" s="857">
        <v>0</v>
      </c>
      <c r="K25" s="857">
        <f>41097+109780+3601289+944232+1046666+0</f>
        <v>5743064</v>
      </c>
      <c r="L25" s="857">
        <f>129311+17346352+10377+138042+0</f>
        <v>17624082</v>
      </c>
      <c r="M25" s="406">
        <f>'03'!C25+'04'!C24</f>
        <v>24135860</v>
      </c>
      <c r="N25" s="406">
        <f t="shared" si="1"/>
        <v>0</v>
      </c>
      <c r="O25" s="406">
        <f>'07'!Q11</f>
        <v>24135860</v>
      </c>
      <c r="P25" s="406">
        <f t="shared" si="2"/>
        <v>0</v>
      </c>
      <c r="Q25" s="390"/>
      <c r="R25" s="390"/>
    </row>
    <row r="26" spans="1:18" s="476" customFormat="1" ht="18" customHeight="1">
      <c r="A26" s="805" t="s">
        <v>53</v>
      </c>
      <c r="B26" s="810" t="s">
        <v>151</v>
      </c>
      <c r="C26" s="854">
        <f t="shared" si="5"/>
        <v>354316602</v>
      </c>
      <c r="D26" s="859">
        <f t="shared" si="6"/>
        <v>11157838</v>
      </c>
      <c r="E26" s="854">
        <f>53387+449740+206353+834194+210054+309481+352645+1005440+806984+1138069+1033582+0</f>
        <v>6399929</v>
      </c>
      <c r="F26" s="854">
        <f>65637</f>
        <v>65637</v>
      </c>
      <c r="G26" s="854">
        <f>11500+103120+1000+87365+85670+89717+61740+376017+68000+0</f>
        <v>884129</v>
      </c>
      <c r="H26" s="854">
        <f>766580+664778+50821+36272+86485+9300+122211+1125359+150575+98452</f>
        <v>3110833</v>
      </c>
      <c r="I26" s="854">
        <f>269415+144626+47632+10000+21830</f>
        <v>493503</v>
      </c>
      <c r="J26" s="854">
        <f>148015+55792+0</f>
        <v>203807</v>
      </c>
      <c r="K26" s="854">
        <f>76224206+12001961+24659439+5324071+10004618+847861+10272621+39900287+18844233+0-17978311</f>
        <v>180100986</v>
      </c>
      <c r="L26" s="854">
        <f>507620+4268521+35367530+24556029+5263114+11485146+1087733+24603356+23289643+9590278+23038808</f>
        <v>163057778</v>
      </c>
      <c r="M26" s="404">
        <f>'03'!C26+'04'!C25</f>
        <v>354316602</v>
      </c>
      <c r="N26" s="404">
        <f t="shared" si="1"/>
        <v>0</v>
      </c>
      <c r="O26" s="404">
        <f>'07'!R11</f>
        <v>354316602</v>
      </c>
      <c r="P26" s="404">
        <f t="shared" si="2"/>
        <v>0</v>
      </c>
      <c r="Q26" s="390"/>
      <c r="R26" s="390"/>
    </row>
    <row r="27" spans="1:18" s="476" customFormat="1" ht="20.25" customHeight="1">
      <c r="A27" s="452" t="s">
        <v>553</v>
      </c>
      <c r="B27" s="477" t="s">
        <v>215</v>
      </c>
      <c r="C27" s="804">
        <f>(C18+C19+C20)/C17</f>
        <v>0.3578948861646415</v>
      </c>
      <c r="D27" s="804">
        <f aca="true" t="shared" si="7" ref="D27:L27">(D18+D19+D20)/D17</f>
        <v>0.49571161924876567</v>
      </c>
      <c r="E27" s="804">
        <f t="shared" si="7"/>
        <v>0.49624527436263355</v>
      </c>
      <c r="F27" s="804">
        <f t="shared" si="7"/>
        <v>0.8237574795457321</v>
      </c>
      <c r="G27" s="804">
        <f t="shared" si="7"/>
        <v>0.1730745651882144</v>
      </c>
      <c r="H27" s="804">
        <f t="shared" si="7"/>
        <v>0.6762281768921348</v>
      </c>
      <c r="I27" s="804">
        <f t="shared" si="7"/>
        <v>0.2788679672390913</v>
      </c>
      <c r="J27" s="804">
        <f t="shared" si="7"/>
        <v>0.987362821873279</v>
      </c>
      <c r="K27" s="804">
        <f t="shared" si="7"/>
        <v>0.26889878396363065</v>
      </c>
      <c r="L27" s="804">
        <f t="shared" si="7"/>
        <v>0.42369590780143485</v>
      </c>
      <c r="M27" s="422"/>
      <c r="N27" s="478"/>
      <c r="O27" s="478"/>
      <c r="P27" s="478"/>
      <c r="Q27" s="390"/>
      <c r="R27" s="390"/>
    </row>
    <row r="28" spans="1:18" s="476" customFormat="1" ht="30" customHeight="1" hidden="1">
      <c r="A28" s="1548" t="s">
        <v>498</v>
      </c>
      <c r="B28" s="1548"/>
      <c r="C28" s="406">
        <f>C11-C14-C15-C16</f>
        <v>-151204565</v>
      </c>
      <c r="D28" s="406">
        <f aca="true" t="shared" si="8" ref="D28:L28">D11-D14-D15-D16</f>
        <v>-367133</v>
      </c>
      <c r="E28" s="406">
        <f t="shared" si="8"/>
        <v>-367133</v>
      </c>
      <c r="F28" s="406">
        <f t="shared" si="8"/>
        <v>0</v>
      </c>
      <c r="G28" s="406">
        <f t="shared" si="8"/>
        <v>0</v>
      </c>
      <c r="H28" s="406">
        <f t="shared" si="8"/>
        <v>0</v>
      </c>
      <c r="I28" s="406">
        <f t="shared" si="8"/>
        <v>0</v>
      </c>
      <c r="J28" s="406">
        <f t="shared" si="8"/>
        <v>0</v>
      </c>
      <c r="K28" s="406">
        <f t="shared" si="8"/>
        <v>-106113512</v>
      </c>
      <c r="L28" s="406">
        <f t="shared" si="8"/>
        <v>-44723920</v>
      </c>
      <c r="M28" s="422"/>
      <c r="N28" s="478"/>
      <c r="O28" s="478"/>
      <c r="P28" s="478"/>
      <c r="Q28" s="390"/>
      <c r="R28" s="390"/>
    </row>
    <row r="29" spans="1:18" s="476" customFormat="1" ht="30" customHeight="1" hidden="1">
      <c r="A29" s="1549" t="s">
        <v>499</v>
      </c>
      <c r="B29" s="1549"/>
      <c r="C29" s="406">
        <f>C16-C17-C26</f>
        <v>0</v>
      </c>
      <c r="D29" s="406">
        <f aca="true" t="shared" si="9" ref="D29:L29">D16-D17-D26</f>
        <v>0</v>
      </c>
      <c r="E29" s="406">
        <f t="shared" si="9"/>
        <v>0</v>
      </c>
      <c r="F29" s="406">
        <f t="shared" si="9"/>
        <v>0</v>
      </c>
      <c r="G29" s="406">
        <f t="shared" si="9"/>
        <v>0</v>
      </c>
      <c r="H29" s="406">
        <f t="shared" si="9"/>
        <v>0</v>
      </c>
      <c r="I29" s="406">
        <f t="shared" si="9"/>
        <v>0</v>
      </c>
      <c r="J29" s="406">
        <f t="shared" si="9"/>
        <v>0</v>
      </c>
      <c r="K29" s="406">
        <f t="shared" si="9"/>
        <v>0</v>
      </c>
      <c r="L29" s="406">
        <f t="shared" si="9"/>
        <v>0</v>
      </c>
      <c r="M29" s="422"/>
      <c r="N29" s="478"/>
      <c r="O29" s="478"/>
      <c r="P29" s="478"/>
      <c r="Q29" s="390"/>
      <c r="R29" s="390"/>
    </row>
    <row r="30" spans="1:18" s="456" customFormat="1" ht="14.25" customHeight="1">
      <c r="A30" s="861"/>
      <c r="B30" s="862"/>
      <c r="C30" s="862"/>
      <c r="D30" s="863"/>
      <c r="E30" s="863"/>
      <c r="F30" s="863"/>
      <c r="G30" s="864"/>
      <c r="H30" s="864"/>
      <c r="I30" s="1550" t="str">
        <f>'Thong tin'!B9</f>
        <v>Bình Thuận, ngày 04 tháng 10 năm 2016</v>
      </c>
      <c r="J30" s="1550"/>
      <c r="K30" s="1550"/>
      <c r="L30" s="1550"/>
      <c r="M30" s="466"/>
      <c r="N30" s="466"/>
      <c r="O30" s="466"/>
      <c r="P30" s="466"/>
      <c r="Q30" s="466"/>
      <c r="R30" s="466"/>
    </row>
    <row r="31" spans="1:18" s="456" customFormat="1" ht="15.75" customHeight="1">
      <c r="A31" s="1537" t="s">
        <v>4</v>
      </c>
      <c r="B31" s="1537"/>
      <c r="C31" s="1537"/>
      <c r="D31" s="1537"/>
      <c r="E31" s="865"/>
      <c r="F31" s="865"/>
      <c r="G31" s="866"/>
      <c r="H31" s="1573" t="str">
        <f>'Thong tin'!B7</f>
        <v>KT. CỤC TRƯỞNG</v>
      </c>
      <c r="I31" s="1573"/>
      <c r="J31" s="1573"/>
      <c r="K31" s="1573"/>
      <c r="L31" s="1573"/>
      <c r="M31" s="466"/>
      <c r="N31" s="466"/>
      <c r="O31" s="466"/>
      <c r="P31" s="466"/>
      <c r="Q31" s="466"/>
      <c r="R31" s="466"/>
    </row>
    <row r="32" spans="1:18" s="456" customFormat="1" ht="15" customHeight="1">
      <c r="A32" s="850"/>
      <c r="B32" s="1541"/>
      <c r="C32" s="1541"/>
      <c r="D32" s="868"/>
      <c r="E32" s="868"/>
      <c r="F32" s="865"/>
      <c r="H32" s="1537" t="str">
        <f>'Thong tin'!B8</f>
        <v>PHÓ CỤC TRƯỞNG</v>
      </c>
      <c r="I32" s="1537"/>
      <c r="J32" s="1537"/>
      <c r="K32" s="1537"/>
      <c r="L32" s="1537"/>
      <c r="M32" s="481"/>
      <c r="N32" s="481"/>
      <c r="O32" s="481"/>
      <c r="P32" s="481"/>
      <c r="Q32" s="466"/>
      <c r="R32" s="466"/>
    </row>
    <row r="33" spans="1:18" s="456" customFormat="1" ht="16.5">
      <c r="A33" s="850"/>
      <c r="B33" s="869"/>
      <c r="C33" s="872"/>
      <c r="D33" s="872"/>
      <c r="E33" s="872"/>
      <c r="F33" s="872">
        <f>F26+F17+F14-F11</f>
        <v>0</v>
      </c>
      <c r="G33" s="872"/>
      <c r="H33" s="872"/>
      <c r="I33" s="870"/>
      <c r="J33" s="870"/>
      <c r="K33" s="872"/>
      <c r="L33" s="870"/>
      <c r="M33" s="466"/>
      <c r="N33" s="466"/>
      <c r="O33" s="466"/>
      <c r="P33" s="466"/>
      <c r="Q33" s="466"/>
      <c r="R33" s="466"/>
    </row>
    <row r="34" spans="1:18" s="434" customFormat="1" ht="16.5">
      <c r="A34" s="871"/>
      <c r="B34" s="871"/>
      <c r="C34" s="871"/>
      <c r="D34" s="871"/>
      <c r="E34" s="871"/>
      <c r="F34" s="871"/>
      <c r="G34" s="871"/>
      <c r="H34" s="871"/>
      <c r="I34" s="871"/>
      <c r="J34" s="871"/>
      <c r="K34" s="871"/>
      <c r="L34" s="871"/>
      <c r="M34" s="433"/>
      <c r="N34" s="433"/>
      <c r="O34" s="433"/>
      <c r="P34" s="433"/>
      <c r="Q34" s="433"/>
      <c r="R34" s="433"/>
    </row>
    <row r="35" spans="1:18" s="434" customFormat="1" ht="10.5" customHeight="1">
      <c r="A35" s="871"/>
      <c r="B35" s="871"/>
      <c r="C35" s="871"/>
      <c r="D35" s="871"/>
      <c r="E35" s="871"/>
      <c r="F35" s="871"/>
      <c r="G35" s="871"/>
      <c r="H35" s="871"/>
      <c r="I35" s="871"/>
      <c r="J35" s="871"/>
      <c r="K35" s="871"/>
      <c r="L35" s="871"/>
      <c r="M35" s="433"/>
      <c r="N35" s="433"/>
      <c r="O35" s="433"/>
      <c r="P35" s="433"/>
      <c r="Q35" s="433"/>
      <c r="R35" s="433"/>
    </row>
    <row r="36" spans="1:12" ht="11.25" customHeight="1">
      <c r="A36" s="871"/>
      <c r="B36" s="871"/>
      <c r="C36" s="871"/>
      <c r="D36" s="871"/>
      <c r="E36" s="871"/>
      <c r="F36" s="871"/>
      <c r="G36" s="871"/>
      <c r="H36" s="871"/>
      <c r="I36" s="871"/>
      <c r="J36" s="871"/>
      <c r="K36" s="871"/>
      <c r="L36" s="871"/>
    </row>
    <row r="37" spans="1:12" ht="11.25" customHeight="1">
      <c r="A37" s="871"/>
      <c r="B37" s="871"/>
      <c r="C37" s="871"/>
      <c r="D37" s="871"/>
      <c r="E37" s="871"/>
      <c r="F37" s="871"/>
      <c r="G37" s="871"/>
      <c r="H37" s="871"/>
      <c r="I37" s="871"/>
      <c r="J37" s="871"/>
      <c r="K37" s="871"/>
      <c r="L37" s="871"/>
    </row>
    <row r="38" spans="1:12" ht="16.5">
      <c r="A38" s="1537" t="str">
        <f>'Thong tin'!B5</f>
        <v>Trần Quốc Bảo</v>
      </c>
      <c r="B38" s="1537"/>
      <c r="C38" s="1537"/>
      <c r="D38" s="1537"/>
      <c r="E38" s="871"/>
      <c r="F38" s="871"/>
      <c r="G38" s="871"/>
      <c r="H38" s="1537" t="str">
        <f>'Thong tin'!B6</f>
        <v>Trần Nam</v>
      </c>
      <c r="I38" s="1537"/>
      <c r="J38" s="1537"/>
      <c r="K38" s="1537"/>
      <c r="L38" s="1537"/>
    </row>
    <row r="39" spans="3:12" ht="15">
      <c r="C39" s="1017">
        <f>C26+C17+C14-C11</f>
        <v>0</v>
      </c>
      <c r="D39" s="1017">
        <f aca="true" t="shared" si="10" ref="D39:L39">D26+D17+D14-D11</f>
        <v>0</v>
      </c>
      <c r="E39" s="1017">
        <f t="shared" si="10"/>
        <v>0</v>
      </c>
      <c r="F39" s="1017">
        <f t="shared" si="10"/>
        <v>0</v>
      </c>
      <c r="G39" s="1017">
        <f t="shared" si="10"/>
        <v>0</v>
      </c>
      <c r="H39" s="1017">
        <f t="shared" si="10"/>
        <v>0</v>
      </c>
      <c r="I39" s="1017">
        <f t="shared" si="10"/>
        <v>0</v>
      </c>
      <c r="J39" s="1017">
        <f t="shared" si="10"/>
        <v>0</v>
      </c>
      <c r="K39" s="1017">
        <f t="shared" si="10"/>
        <v>0</v>
      </c>
      <c r="L39" s="1017">
        <f t="shared" si="10"/>
        <v>0</v>
      </c>
    </row>
    <row r="46" spans="1:13" ht="16.5" hidden="1">
      <c r="A46" s="1560" t="s">
        <v>33</v>
      </c>
      <c r="B46" s="1561"/>
      <c r="C46" s="462"/>
      <c r="D46" s="1537" t="s">
        <v>79</v>
      </c>
      <c r="E46" s="1537"/>
      <c r="F46" s="1537"/>
      <c r="G46" s="1537"/>
      <c r="H46" s="1537"/>
      <c r="I46" s="1537"/>
      <c r="J46" s="1537"/>
      <c r="K46" s="1562"/>
      <c r="L46" s="1562"/>
      <c r="M46" s="466"/>
    </row>
    <row r="47" spans="1:13" ht="16.5" hidden="1">
      <c r="A47" s="1526" t="s">
        <v>342</v>
      </c>
      <c r="B47" s="1526"/>
      <c r="C47" s="1526"/>
      <c r="D47" s="1537" t="s">
        <v>216</v>
      </c>
      <c r="E47" s="1537"/>
      <c r="F47" s="1537"/>
      <c r="G47" s="1537"/>
      <c r="H47" s="1537"/>
      <c r="I47" s="1537"/>
      <c r="J47" s="1537"/>
      <c r="K47" s="1574" t="s">
        <v>505</v>
      </c>
      <c r="L47" s="1574"/>
      <c r="M47" s="463"/>
    </row>
    <row r="48" spans="1:13" ht="16.5" hidden="1">
      <c r="A48" s="1526" t="s">
        <v>343</v>
      </c>
      <c r="B48" s="1526"/>
      <c r="C48" s="413"/>
      <c r="D48" s="1541" t="s">
        <v>11</v>
      </c>
      <c r="E48" s="1541"/>
      <c r="F48" s="1541"/>
      <c r="G48" s="1541"/>
      <c r="H48" s="1541"/>
      <c r="I48" s="1541"/>
      <c r="J48" s="1541"/>
      <c r="K48" s="1562"/>
      <c r="L48" s="1562"/>
      <c r="M48" s="466"/>
    </row>
    <row r="49" spans="1:13" ht="15.75" hidden="1">
      <c r="A49" s="432" t="s">
        <v>119</v>
      </c>
      <c r="B49" s="432"/>
      <c r="C49" s="418"/>
      <c r="D49" s="467"/>
      <c r="E49" s="467"/>
      <c r="F49" s="468"/>
      <c r="G49" s="468"/>
      <c r="H49" s="468"/>
      <c r="I49" s="468"/>
      <c r="J49" s="468"/>
      <c r="K49" s="1578"/>
      <c r="L49" s="1578"/>
      <c r="M49" s="463"/>
    </row>
    <row r="50" spans="1:13" ht="15.75" hidden="1">
      <c r="A50" s="467"/>
      <c r="B50" s="467" t="s">
        <v>94</v>
      </c>
      <c r="C50" s="467"/>
      <c r="D50" s="467"/>
      <c r="E50" s="467"/>
      <c r="F50" s="467"/>
      <c r="G50" s="467"/>
      <c r="H50" s="467"/>
      <c r="I50" s="467"/>
      <c r="J50" s="467"/>
      <c r="K50" s="1563"/>
      <c r="L50" s="1563"/>
      <c r="M50" s="463"/>
    </row>
    <row r="51" spans="1:13" ht="15.75" hidden="1">
      <c r="A51" s="1256" t="s">
        <v>71</v>
      </c>
      <c r="B51" s="1257"/>
      <c r="C51" s="1542" t="s">
        <v>38</v>
      </c>
      <c r="D51" s="1564" t="s">
        <v>339</v>
      </c>
      <c r="E51" s="1564"/>
      <c r="F51" s="1564"/>
      <c r="G51" s="1564"/>
      <c r="H51" s="1564"/>
      <c r="I51" s="1564"/>
      <c r="J51" s="1564"/>
      <c r="K51" s="1564"/>
      <c r="L51" s="1564"/>
      <c r="M51" s="466"/>
    </row>
    <row r="52" spans="1:13" ht="15.75" hidden="1">
      <c r="A52" s="1258"/>
      <c r="B52" s="1259"/>
      <c r="C52" s="1542"/>
      <c r="D52" s="1579" t="s">
        <v>207</v>
      </c>
      <c r="E52" s="1580"/>
      <c r="F52" s="1580"/>
      <c r="G52" s="1580"/>
      <c r="H52" s="1580"/>
      <c r="I52" s="1580"/>
      <c r="J52" s="1581"/>
      <c r="K52" s="1582" t="s">
        <v>208</v>
      </c>
      <c r="L52" s="1582" t="s">
        <v>209</v>
      </c>
      <c r="M52" s="463"/>
    </row>
    <row r="53" spans="1:13" ht="15.75" hidden="1">
      <c r="A53" s="1258"/>
      <c r="B53" s="1259"/>
      <c r="C53" s="1542"/>
      <c r="D53" s="1587" t="s">
        <v>37</v>
      </c>
      <c r="E53" s="1588" t="s">
        <v>7</v>
      </c>
      <c r="F53" s="1589"/>
      <c r="G53" s="1589"/>
      <c r="H53" s="1589"/>
      <c r="I53" s="1589"/>
      <c r="J53" s="1590"/>
      <c r="K53" s="1583"/>
      <c r="L53" s="1585"/>
      <c r="M53" s="463"/>
    </row>
    <row r="54" spans="1:16" ht="15.75" hidden="1">
      <c r="A54" s="1546"/>
      <c r="B54" s="1547"/>
      <c r="C54" s="1542"/>
      <c r="D54" s="1587"/>
      <c r="E54" s="469" t="s">
        <v>210</v>
      </c>
      <c r="F54" s="469" t="s">
        <v>211</v>
      </c>
      <c r="G54" s="469" t="s">
        <v>212</v>
      </c>
      <c r="H54" s="469" t="s">
        <v>213</v>
      </c>
      <c r="I54" s="469" t="s">
        <v>344</v>
      </c>
      <c r="J54" s="469" t="s">
        <v>214</v>
      </c>
      <c r="K54" s="1584"/>
      <c r="L54" s="1586"/>
      <c r="M54" s="1540" t="s">
        <v>500</v>
      </c>
      <c r="N54" s="1540"/>
      <c r="O54" s="1540"/>
      <c r="P54" s="1540"/>
    </row>
    <row r="55" spans="1:16" ht="15" hidden="1">
      <c r="A55" s="1544" t="s">
        <v>6</v>
      </c>
      <c r="B55" s="1545"/>
      <c r="C55" s="470">
        <v>1</v>
      </c>
      <c r="D55" s="471">
        <v>2</v>
      </c>
      <c r="E55" s="470">
        <v>3</v>
      </c>
      <c r="F55" s="471">
        <v>4</v>
      </c>
      <c r="G55" s="470">
        <v>5</v>
      </c>
      <c r="H55" s="471">
        <v>6</v>
      </c>
      <c r="I55" s="470">
        <v>7</v>
      </c>
      <c r="J55" s="471">
        <v>8</v>
      </c>
      <c r="K55" s="470">
        <v>9</v>
      </c>
      <c r="L55" s="471">
        <v>10</v>
      </c>
      <c r="M55" s="472" t="s">
        <v>501</v>
      </c>
      <c r="N55" s="473" t="s">
        <v>504</v>
      </c>
      <c r="O55" s="473" t="s">
        <v>502</v>
      </c>
      <c r="P55" s="473" t="s">
        <v>503</v>
      </c>
    </row>
    <row r="56" spans="1:16" ht="24.75" customHeight="1" hidden="1">
      <c r="A56" s="425" t="s">
        <v>0</v>
      </c>
      <c r="B56" s="426" t="s">
        <v>131</v>
      </c>
      <c r="C56" s="404">
        <f>C57+C58</f>
        <v>1227010</v>
      </c>
      <c r="D56" s="404">
        <f aca="true" t="shared" si="11" ref="D56:L56">D57+D58</f>
        <v>730216</v>
      </c>
      <c r="E56" s="404">
        <f t="shared" si="11"/>
        <v>318858</v>
      </c>
      <c r="F56" s="404">
        <f t="shared" si="11"/>
        <v>0</v>
      </c>
      <c r="G56" s="404">
        <f t="shared" si="11"/>
        <v>359311</v>
      </c>
      <c r="H56" s="404">
        <f t="shared" si="11"/>
        <v>25503</v>
      </c>
      <c r="I56" s="404">
        <f t="shared" si="11"/>
        <v>12500</v>
      </c>
      <c r="J56" s="404">
        <f t="shared" si="11"/>
        <v>14044</v>
      </c>
      <c r="K56" s="404">
        <f t="shared" si="11"/>
        <v>496794</v>
      </c>
      <c r="L56" s="404">
        <f t="shared" si="11"/>
        <v>0</v>
      </c>
      <c r="M56" s="404" t="e">
        <f>'03'!#REF!+'04'!#REF!</f>
        <v>#REF!</v>
      </c>
      <c r="N56" s="404" t="e">
        <f>C56-M56</f>
        <v>#REF!</v>
      </c>
      <c r="O56" s="404">
        <f>'07'!C12</f>
        <v>255173230</v>
      </c>
      <c r="P56" s="404">
        <f>C56-O56</f>
        <v>-253946220</v>
      </c>
    </row>
    <row r="57" spans="1:16" ht="24.75" customHeight="1" hidden="1">
      <c r="A57" s="428">
        <v>1</v>
      </c>
      <c r="B57" s="429" t="s">
        <v>132</v>
      </c>
      <c r="C57" s="404">
        <f>D57+K57+L57</f>
        <v>1145484</v>
      </c>
      <c r="D57" s="404">
        <f>E57+F57+G57+H57+I57+J57</f>
        <v>648690</v>
      </c>
      <c r="E57" s="406">
        <v>289379</v>
      </c>
      <c r="F57" s="406"/>
      <c r="G57" s="406">
        <v>359311</v>
      </c>
      <c r="H57" s="406"/>
      <c r="I57" s="406"/>
      <c r="J57" s="406"/>
      <c r="K57" s="406">
        <v>496794</v>
      </c>
      <c r="L57" s="406"/>
      <c r="M57" s="406" t="e">
        <f>'03'!#REF!+'04'!#REF!</f>
        <v>#REF!</v>
      </c>
      <c r="N57" s="406" t="e">
        <f aca="true" t="shared" si="12" ref="N57:N71">C57-M57</f>
        <v>#REF!</v>
      </c>
      <c r="O57" s="406">
        <f>'07'!D12</f>
        <v>88752762</v>
      </c>
      <c r="P57" s="406">
        <f aca="true" t="shared" si="13" ref="P57:P71">C57-O57</f>
        <v>-87607278</v>
      </c>
    </row>
    <row r="58" spans="1:16" ht="24.75" customHeight="1" hidden="1">
      <c r="A58" s="428">
        <v>2</v>
      </c>
      <c r="B58" s="429" t="s">
        <v>133</v>
      </c>
      <c r="C58" s="404">
        <f>D58+K58+L58</f>
        <v>81526</v>
      </c>
      <c r="D58" s="404">
        <f>E58+F58+G58+H58+I58+J58</f>
        <v>81526</v>
      </c>
      <c r="E58" s="406">
        <v>29479</v>
      </c>
      <c r="F58" s="406">
        <v>0</v>
      </c>
      <c r="G58" s="406">
        <v>0</v>
      </c>
      <c r="H58" s="406">
        <v>25503</v>
      </c>
      <c r="I58" s="406">
        <v>12500</v>
      </c>
      <c r="J58" s="406">
        <v>14044</v>
      </c>
      <c r="K58" s="406">
        <v>0</v>
      </c>
      <c r="L58" s="406">
        <v>0</v>
      </c>
      <c r="M58" s="406" t="e">
        <f>'03'!#REF!+'04'!#REF!</f>
        <v>#REF!</v>
      </c>
      <c r="N58" s="406" t="e">
        <f t="shared" si="12"/>
        <v>#REF!</v>
      </c>
      <c r="O58" s="406">
        <f>'07'!E12</f>
        <v>166420468</v>
      </c>
      <c r="P58" s="406">
        <f t="shared" si="13"/>
        <v>-166338942</v>
      </c>
    </row>
    <row r="59" spans="1:16" ht="24.75" customHeight="1" hidden="1">
      <c r="A59" s="394" t="s">
        <v>1</v>
      </c>
      <c r="B59" s="395" t="s">
        <v>134</v>
      </c>
      <c r="C59" s="404">
        <f>D59+K59+L59</f>
        <v>30849</v>
      </c>
      <c r="D59" s="404">
        <f>E59+F59+G59+H59+I59+J59</f>
        <v>30849</v>
      </c>
      <c r="E59" s="406">
        <v>18349</v>
      </c>
      <c r="F59" s="406">
        <v>0</v>
      </c>
      <c r="G59" s="406">
        <v>0</v>
      </c>
      <c r="H59" s="406">
        <v>0</v>
      </c>
      <c r="I59" s="406">
        <v>12500</v>
      </c>
      <c r="J59" s="406">
        <v>0</v>
      </c>
      <c r="K59" s="406">
        <v>0</v>
      </c>
      <c r="L59" s="406">
        <v>0</v>
      </c>
      <c r="M59" s="406" t="e">
        <f>'03'!#REF!+'04'!#REF!</f>
        <v>#REF!</v>
      </c>
      <c r="N59" s="406" t="e">
        <f t="shared" si="12"/>
        <v>#REF!</v>
      </c>
      <c r="O59" s="406">
        <f>'07'!F12</f>
        <v>703746</v>
      </c>
      <c r="P59" s="406">
        <f t="shared" si="13"/>
        <v>-672897</v>
      </c>
    </row>
    <row r="60" spans="1:16" ht="24.75" customHeight="1" hidden="1">
      <c r="A60" s="394" t="s">
        <v>9</v>
      </c>
      <c r="B60" s="395" t="s">
        <v>135</v>
      </c>
      <c r="C60" s="404">
        <f>D60+K60+L60</f>
        <v>0</v>
      </c>
      <c r="D60" s="404">
        <f>E60+F60+G60+H60+I60+J60</f>
        <v>0</v>
      </c>
      <c r="E60" s="406">
        <v>0</v>
      </c>
      <c r="F60" s="406">
        <v>0</v>
      </c>
      <c r="G60" s="406">
        <v>0</v>
      </c>
      <c r="H60" s="406">
        <v>0</v>
      </c>
      <c r="I60" s="406">
        <v>0</v>
      </c>
      <c r="J60" s="406">
        <v>0</v>
      </c>
      <c r="K60" s="406">
        <v>0</v>
      </c>
      <c r="L60" s="406">
        <v>0</v>
      </c>
      <c r="M60" s="406" t="e">
        <f>'03'!#REF!+'04'!#REF!</f>
        <v>#REF!</v>
      </c>
      <c r="N60" s="406" t="e">
        <f t="shared" si="12"/>
        <v>#REF!</v>
      </c>
      <c r="O60" s="406">
        <f>'07'!G12</f>
        <v>0</v>
      </c>
      <c r="P60" s="406">
        <f t="shared" si="13"/>
        <v>0</v>
      </c>
    </row>
    <row r="61" spans="1:16" ht="24.75" customHeight="1" hidden="1">
      <c r="A61" s="394" t="s">
        <v>136</v>
      </c>
      <c r="B61" s="395" t="s">
        <v>137</v>
      </c>
      <c r="C61" s="404">
        <f>C62+C71</f>
        <v>1196161</v>
      </c>
      <c r="D61" s="404">
        <f aca="true" t="shared" si="14" ref="D61:L61">D62+D71</f>
        <v>699367</v>
      </c>
      <c r="E61" s="404">
        <f t="shared" si="14"/>
        <v>300509</v>
      </c>
      <c r="F61" s="404">
        <f t="shared" si="14"/>
        <v>0</v>
      </c>
      <c r="G61" s="404">
        <f t="shared" si="14"/>
        <v>359311</v>
      </c>
      <c r="H61" s="404">
        <f t="shared" si="14"/>
        <v>25503</v>
      </c>
      <c r="I61" s="404">
        <f t="shared" si="14"/>
        <v>0</v>
      </c>
      <c r="J61" s="404">
        <f t="shared" si="14"/>
        <v>14044</v>
      </c>
      <c r="K61" s="404">
        <f t="shared" si="14"/>
        <v>496794</v>
      </c>
      <c r="L61" s="404">
        <f t="shared" si="14"/>
        <v>0</v>
      </c>
      <c r="M61" s="404" t="e">
        <f>'03'!#REF!+'04'!#REF!</f>
        <v>#REF!</v>
      </c>
      <c r="N61" s="404" t="e">
        <f t="shared" si="12"/>
        <v>#REF!</v>
      </c>
      <c r="O61" s="404">
        <f>'07'!H12</f>
        <v>254469484</v>
      </c>
      <c r="P61" s="404">
        <f t="shared" si="13"/>
        <v>-253273323</v>
      </c>
    </row>
    <row r="62" spans="1:16" ht="24.75" customHeight="1" hidden="1">
      <c r="A62" s="394" t="s">
        <v>52</v>
      </c>
      <c r="B62" s="430" t="s">
        <v>138</v>
      </c>
      <c r="C62" s="404">
        <f>SUM(C63:C70)</f>
        <v>547471</v>
      </c>
      <c r="D62" s="404">
        <f aca="true" t="shared" si="15" ref="D62:L62">SUM(D63:D70)</f>
        <v>50677</v>
      </c>
      <c r="E62" s="404">
        <f t="shared" si="15"/>
        <v>11130</v>
      </c>
      <c r="F62" s="404">
        <f t="shared" si="15"/>
        <v>0</v>
      </c>
      <c r="G62" s="404">
        <f t="shared" si="15"/>
        <v>0</v>
      </c>
      <c r="H62" s="404">
        <f t="shared" si="15"/>
        <v>25503</v>
      </c>
      <c r="I62" s="404">
        <f t="shared" si="15"/>
        <v>0</v>
      </c>
      <c r="J62" s="404">
        <f t="shared" si="15"/>
        <v>14044</v>
      </c>
      <c r="K62" s="404">
        <f t="shared" si="15"/>
        <v>496794</v>
      </c>
      <c r="L62" s="404">
        <f t="shared" si="15"/>
        <v>0</v>
      </c>
      <c r="M62" s="404" t="e">
        <f>'03'!#REF!+'04'!#REF!</f>
        <v>#REF!</v>
      </c>
      <c r="N62" s="404" t="e">
        <f t="shared" si="12"/>
        <v>#REF!</v>
      </c>
      <c r="O62" s="404">
        <f>'07'!I12</f>
        <v>153835473</v>
      </c>
      <c r="P62" s="404">
        <f t="shared" si="13"/>
        <v>-153288002</v>
      </c>
    </row>
    <row r="63" spans="1:16" ht="24.75" customHeight="1" hidden="1">
      <c r="A63" s="428" t="s">
        <v>54</v>
      </c>
      <c r="B63" s="429" t="s">
        <v>139</v>
      </c>
      <c r="C63" s="404">
        <f aca="true" t="shared" si="16" ref="C63:C71">D63+K63+L63</f>
        <v>41344</v>
      </c>
      <c r="D63" s="404">
        <f aca="true" t="shared" si="17" ref="D63:D71">E63+F63+G63+H63+I63+J63</f>
        <v>40344</v>
      </c>
      <c r="E63" s="406">
        <v>800</v>
      </c>
      <c r="F63" s="406">
        <v>0</v>
      </c>
      <c r="G63" s="406">
        <v>0</v>
      </c>
      <c r="H63" s="406">
        <v>25503</v>
      </c>
      <c r="I63" s="406">
        <v>0</v>
      </c>
      <c r="J63" s="406">
        <v>14041</v>
      </c>
      <c r="K63" s="406">
        <v>1000</v>
      </c>
      <c r="L63" s="406">
        <v>0</v>
      </c>
      <c r="M63" s="406" t="e">
        <f>'03'!#REF!+'04'!#REF!</f>
        <v>#REF!</v>
      </c>
      <c r="N63" s="406" t="e">
        <f t="shared" si="12"/>
        <v>#REF!</v>
      </c>
      <c r="O63" s="406">
        <f>'07'!J12</f>
        <v>14743314</v>
      </c>
      <c r="P63" s="406">
        <f t="shared" si="13"/>
        <v>-14701970</v>
      </c>
    </row>
    <row r="64" spans="1:16" ht="24.75" customHeight="1" hidden="1">
      <c r="A64" s="428" t="s">
        <v>55</v>
      </c>
      <c r="B64" s="429" t="s">
        <v>140</v>
      </c>
      <c r="C64" s="404">
        <f t="shared" si="16"/>
        <v>0</v>
      </c>
      <c r="D64" s="404">
        <f t="shared" si="17"/>
        <v>0</v>
      </c>
      <c r="E64" s="406">
        <v>0</v>
      </c>
      <c r="F64" s="406">
        <v>0</v>
      </c>
      <c r="G64" s="406">
        <v>0</v>
      </c>
      <c r="H64" s="406">
        <v>0</v>
      </c>
      <c r="I64" s="406">
        <v>0</v>
      </c>
      <c r="J64" s="406">
        <v>0</v>
      </c>
      <c r="K64" s="406">
        <v>0</v>
      </c>
      <c r="L64" s="406">
        <v>0</v>
      </c>
      <c r="M64" s="406" t="e">
        <f>'03'!#REF!+'04'!#REF!</f>
        <v>#REF!</v>
      </c>
      <c r="N64" s="406" t="e">
        <f t="shared" si="12"/>
        <v>#REF!</v>
      </c>
      <c r="O64" s="406">
        <f>'07'!K12</f>
        <v>10461207</v>
      </c>
      <c r="P64" s="406">
        <f t="shared" si="13"/>
        <v>-10461207</v>
      </c>
    </row>
    <row r="65" spans="1:16" ht="24.75" customHeight="1" hidden="1">
      <c r="A65" s="428" t="s">
        <v>141</v>
      </c>
      <c r="B65" s="429" t="s">
        <v>202</v>
      </c>
      <c r="C65" s="404">
        <f t="shared" si="16"/>
        <v>0</v>
      </c>
      <c r="D65" s="404">
        <f t="shared" si="17"/>
        <v>0</v>
      </c>
      <c r="E65" s="406">
        <v>0</v>
      </c>
      <c r="F65" s="406">
        <v>0</v>
      </c>
      <c r="G65" s="406">
        <v>0</v>
      </c>
      <c r="H65" s="406">
        <v>0</v>
      </c>
      <c r="I65" s="406">
        <v>0</v>
      </c>
      <c r="J65" s="406">
        <v>0</v>
      </c>
      <c r="K65" s="406">
        <v>0</v>
      </c>
      <c r="L65" s="406">
        <v>0</v>
      </c>
      <c r="M65" s="406" t="e">
        <f>'03'!#REF!</f>
        <v>#REF!</v>
      </c>
      <c r="N65" s="406" t="e">
        <f t="shared" si="12"/>
        <v>#REF!</v>
      </c>
      <c r="O65" s="406">
        <f>'07'!L12</f>
        <v>3882</v>
      </c>
      <c r="P65" s="406">
        <f t="shared" si="13"/>
        <v>-3882</v>
      </c>
    </row>
    <row r="66" spans="1:16" ht="24.75" customHeight="1" hidden="1">
      <c r="A66" s="428" t="s">
        <v>143</v>
      </c>
      <c r="B66" s="429" t="s">
        <v>142</v>
      </c>
      <c r="C66" s="404">
        <f t="shared" si="16"/>
        <v>33438</v>
      </c>
      <c r="D66" s="404">
        <f t="shared" si="17"/>
        <v>10333</v>
      </c>
      <c r="E66" s="406">
        <v>10330</v>
      </c>
      <c r="F66" s="406">
        <v>0</v>
      </c>
      <c r="G66" s="406">
        <v>0</v>
      </c>
      <c r="H66" s="406">
        <v>0</v>
      </c>
      <c r="I66" s="406">
        <v>0</v>
      </c>
      <c r="J66" s="406">
        <v>3</v>
      </c>
      <c r="K66" s="406">
        <v>23105</v>
      </c>
      <c r="L66" s="406">
        <v>0</v>
      </c>
      <c r="M66" s="406" t="e">
        <f>'03'!#REF!+'04'!#REF!</f>
        <v>#REF!</v>
      </c>
      <c r="N66" s="406" t="e">
        <f t="shared" si="12"/>
        <v>#REF!</v>
      </c>
      <c r="O66" s="406">
        <f>'07'!M12</f>
        <v>112097119</v>
      </c>
      <c r="P66" s="406">
        <f t="shared" si="13"/>
        <v>-112063681</v>
      </c>
    </row>
    <row r="67" spans="1:16" ht="24.75" customHeight="1" hidden="1">
      <c r="A67" s="428" t="s">
        <v>145</v>
      </c>
      <c r="B67" s="429" t="s">
        <v>144</v>
      </c>
      <c r="C67" s="404">
        <f t="shared" si="16"/>
        <v>0</v>
      </c>
      <c r="D67" s="404">
        <f t="shared" si="17"/>
        <v>0</v>
      </c>
      <c r="E67" s="406">
        <v>0</v>
      </c>
      <c r="F67" s="406">
        <v>0</v>
      </c>
      <c r="G67" s="406">
        <v>0</v>
      </c>
      <c r="H67" s="406">
        <v>0</v>
      </c>
      <c r="I67" s="406">
        <v>0</v>
      </c>
      <c r="J67" s="406">
        <v>0</v>
      </c>
      <c r="K67" s="406">
        <v>0</v>
      </c>
      <c r="L67" s="406">
        <v>0</v>
      </c>
      <c r="M67" s="406" t="e">
        <f>'03'!#REF!+'04'!#REF!</f>
        <v>#REF!</v>
      </c>
      <c r="N67" s="406" t="e">
        <f t="shared" si="12"/>
        <v>#REF!</v>
      </c>
      <c r="O67" s="406">
        <f>'07'!N12</f>
        <v>5393455</v>
      </c>
      <c r="P67" s="406">
        <f t="shared" si="13"/>
        <v>-5393455</v>
      </c>
    </row>
    <row r="68" spans="1:16" ht="24.75" customHeight="1" hidden="1">
      <c r="A68" s="428" t="s">
        <v>147</v>
      </c>
      <c r="B68" s="429" t="s">
        <v>146</v>
      </c>
      <c r="C68" s="404">
        <f t="shared" si="16"/>
        <v>0</v>
      </c>
      <c r="D68" s="404">
        <f t="shared" si="17"/>
        <v>0</v>
      </c>
      <c r="E68" s="406">
        <v>0</v>
      </c>
      <c r="F68" s="406">
        <v>0</v>
      </c>
      <c r="G68" s="406">
        <v>0</v>
      </c>
      <c r="H68" s="406">
        <v>0</v>
      </c>
      <c r="I68" s="406">
        <v>0</v>
      </c>
      <c r="J68" s="406">
        <v>0</v>
      </c>
      <c r="K68" s="406">
        <v>0</v>
      </c>
      <c r="L68" s="406">
        <v>0</v>
      </c>
      <c r="M68" s="406" t="e">
        <f>'03'!#REF!+'04'!#REF!</f>
        <v>#REF!</v>
      </c>
      <c r="N68" s="406" t="e">
        <f t="shared" si="12"/>
        <v>#REF!</v>
      </c>
      <c r="O68" s="406">
        <f>'07'!O12</f>
        <v>9867393</v>
      </c>
      <c r="P68" s="406">
        <f t="shared" si="13"/>
        <v>-9867393</v>
      </c>
    </row>
    <row r="69" spans="1:16" ht="24.75" customHeight="1" hidden="1">
      <c r="A69" s="428" t="s">
        <v>149</v>
      </c>
      <c r="B69" s="431" t="s">
        <v>148</v>
      </c>
      <c r="C69" s="404">
        <f t="shared" si="16"/>
        <v>0</v>
      </c>
      <c r="D69" s="404">
        <f t="shared" si="17"/>
        <v>0</v>
      </c>
      <c r="E69" s="406">
        <v>0</v>
      </c>
      <c r="F69" s="406">
        <v>0</v>
      </c>
      <c r="G69" s="406">
        <v>0</v>
      </c>
      <c r="H69" s="406">
        <v>0</v>
      </c>
      <c r="I69" s="406">
        <v>0</v>
      </c>
      <c r="J69" s="406">
        <v>0</v>
      </c>
      <c r="K69" s="406">
        <v>0</v>
      </c>
      <c r="L69" s="406">
        <v>0</v>
      </c>
      <c r="M69" s="406" t="e">
        <f>'03'!#REF!+'04'!#REF!</f>
        <v>#REF!</v>
      </c>
      <c r="N69" s="406" t="e">
        <f t="shared" si="12"/>
        <v>#REF!</v>
      </c>
      <c r="O69" s="406">
        <f>'07'!P12</f>
        <v>0</v>
      </c>
      <c r="P69" s="406">
        <f t="shared" si="13"/>
        <v>0</v>
      </c>
    </row>
    <row r="70" spans="1:16" ht="24.75" customHeight="1" hidden="1">
      <c r="A70" s="428" t="s">
        <v>186</v>
      </c>
      <c r="B70" s="429" t="s">
        <v>150</v>
      </c>
      <c r="C70" s="404">
        <f t="shared" si="16"/>
        <v>472689</v>
      </c>
      <c r="D70" s="404">
        <f t="shared" si="17"/>
        <v>0</v>
      </c>
      <c r="E70" s="406">
        <v>0</v>
      </c>
      <c r="F70" s="406">
        <v>0</v>
      </c>
      <c r="G70" s="406">
        <v>0</v>
      </c>
      <c r="H70" s="406">
        <v>0</v>
      </c>
      <c r="I70" s="406">
        <v>0</v>
      </c>
      <c r="J70" s="406">
        <v>0</v>
      </c>
      <c r="K70" s="406">
        <v>472689</v>
      </c>
      <c r="L70" s="406">
        <v>0</v>
      </c>
      <c r="M70" s="406" t="e">
        <f>'03'!#REF!+'04'!#REF!</f>
        <v>#REF!</v>
      </c>
      <c r="N70" s="406" t="e">
        <f t="shared" si="12"/>
        <v>#REF!</v>
      </c>
      <c r="O70" s="406">
        <f>'07'!Q12</f>
        <v>1269103</v>
      </c>
      <c r="P70" s="406">
        <f t="shared" si="13"/>
        <v>-796414</v>
      </c>
    </row>
    <row r="71" spans="1:16" ht="24.75" customHeight="1" hidden="1">
      <c r="A71" s="394" t="s">
        <v>53</v>
      </c>
      <c r="B71" s="395" t="s">
        <v>151</v>
      </c>
      <c r="C71" s="404">
        <f t="shared" si="16"/>
        <v>648690</v>
      </c>
      <c r="D71" s="404">
        <f t="shared" si="17"/>
        <v>648690</v>
      </c>
      <c r="E71" s="406">
        <v>289379</v>
      </c>
      <c r="F71" s="406">
        <v>0</v>
      </c>
      <c r="G71" s="406">
        <v>359311</v>
      </c>
      <c r="H71" s="406">
        <v>0</v>
      </c>
      <c r="I71" s="406">
        <v>0</v>
      </c>
      <c r="J71" s="406">
        <v>0</v>
      </c>
      <c r="K71" s="406">
        <v>0</v>
      </c>
      <c r="L71" s="406">
        <v>0</v>
      </c>
      <c r="M71" s="404" t="e">
        <f>'03'!#REF!+'04'!#REF!</f>
        <v>#REF!</v>
      </c>
      <c r="N71" s="404" t="e">
        <f t="shared" si="12"/>
        <v>#REF!</v>
      </c>
      <c r="O71" s="404">
        <f>'07'!R12</f>
        <v>100634011</v>
      </c>
      <c r="P71" s="404">
        <f t="shared" si="13"/>
        <v>-99985321</v>
      </c>
    </row>
    <row r="72" spans="1:16" ht="24.75" customHeight="1" hidden="1">
      <c r="A72" s="452" t="s">
        <v>76</v>
      </c>
      <c r="B72" s="477" t="s">
        <v>215</v>
      </c>
      <c r="C72" s="461">
        <f>(C63+C64+C65)/C62</f>
        <v>0.07551815529955011</v>
      </c>
      <c r="D72" s="396">
        <f aca="true" t="shared" si="18" ref="D72:L72">(D63+D64+D65)/D62</f>
        <v>0.7961007952325513</v>
      </c>
      <c r="E72" s="412">
        <f t="shared" si="18"/>
        <v>0.07187780772686433</v>
      </c>
      <c r="F72" s="412" t="e">
        <f t="shared" si="18"/>
        <v>#DIV/0!</v>
      </c>
      <c r="G72" s="412" t="e">
        <f t="shared" si="18"/>
        <v>#DIV/0!</v>
      </c>
      <c r="H72" s="412">
        <f t="shared" si="18"/>
        <v>1</v>
      </c>
      <c r="I72" s="412" t="e">
        <f t="shared" si="18"/>
        <v>#DIV/0!</v>
      </c>
      <c r="J72" s="412">
        <f t="shared" si="18"/>
        <v>0.9997863856451153</v>
      </c>
      <c r="K72" s="412">
        <f t="shared" si="18"/>
        <v>0.0020129067581331496</v>
      </c>
      <c r="L72" s="412" t="e">
        <f t="shared" si="18"/>
        <v>#DIV/0!</v>
      </c>
      <c r="M72" s="422"/>
      <c r="N72" s="478"/>
      <c r="O72" s="478"/>
      <c r="P72" s="478"/>
    </row>
    <row r="73" spans="1:16" ht="17.25" hidden="1">
      <c r="A73" s="1548" t="s">
        <v>498</v>
      </c>
      <c r="B73" s="1548"/>
      <c r="C73" s="406">
        <f>C56-C59-C60-C61</f>
        <v>0</v>
      </c>
      <c r="D73" s="406">
        <f aca="true" t="shared" si="19" ref="D73:L73">D56-D59-D60-D61</f>
        <v>0</v>
      </c>
      <c r="E73" s="406">
        <f t="shared" si="19"/>
        <v>0</v>
      </c>
      <c r="F73" s="406">
        <f t="shared" si="19"/>
        <v>0</v>
      </c>
      <c r="G73" s="406">
        <f t="shared" si="19"/>
        <v>0</v>
      </c>
      <c r="H73" s="406">
        <f t="shared" si="19"/>
        <v>0</v>
      </c>
      <c r="I73" s="406">
        <f t="shared" si="19"/>
        <v>0</v>
      </c>
      <c r="J73" s="406">
        <f t="shared" si="19"/>
        <v>0</v>
      </c>
      <c r="K73" s="406">
        <f t="shared" si="19"/>
        <v>0</v>
      </c>
      <c r="L73" s="406">
        <f t="shared" si="19"/>
        <v>0</v>
      </c>
      <c r="M73" s="422"/>
      <c r="N73" s="478"/>
      <c r="O73" s="478"/>
      <c r="P73" s="478"/>
    </row>
    <row r="74" spans="1:16" ht="17.25" hidden="1">
      <c r="A74" s="1549" t="s">
        <v>499</v>
      </c>
      <c r="B74" s="1549"/>
      <c r="C74" s="406">
        <f>C61-C62-C71</f>
        <v>0</v>
      </c>
      <c r="D74" s="406">
        <f aca="true" t="shared" si="20" ref="D74:L74">D61-D62-D71</f>
        <v>0</v>
      </c>
      <c r="E74" s="406">
        <f t="shared" si="20"/>
        <v>0</v>
      </c>
      <c r="F74" s="406">
        <f t="shared" si="20"/>
        <v>0</v>
      </c>
      <c r="G74" s="406">
        <f t="shared" si="20"/>
        <v>0</v>
      </c>
      <c r="H74" s="406">
        <f t="shared" si="20"/>
        <v>0</v>
      </c>
      <c r="I74" s="406">
        <f t="shared" si="20"/>
        <v>0</v>
      </c>
      <c r="J74" s="406">
        <f t="shared" si="20"/>
        <v>0</v>
      </c>
      <c r="K74" s="406">
        <f t="shared" si="20"/>
        <v>0</v>
      </c>
      <c r="L74" s="406">
        <f t="shared" si="20"/>
        <v>0</v>
      </c>
      <c r="M74" s="422"/>
      <c r="N74" s="478"/>
      <c r="O74" s="478"/>
      <c r="P74" s="478"/>
    </row>
    <row r="75" spans="1:16" ht="18.75" hidden="1">
      <c r="A75" s="463"/>
      <c r="B75" s="479" t="s">
        <v>518</v>
      </c>
      <c r="C75" s="479"/>
      <c r="D75" s="453"/>
      <c r="E75" s="453"/>
      <c r="F75" s="453"/>
      <c r="G75" s="1575" t="s">
        <v>518</v>
      </c>
      <c r="H75" s="1575"/>
      <c r="I75" s="1575"/>
      <c r="J75" s="1575"/>
      <c r="K75" s="1575"/>
      <c r="L75" s="1575"/>
      <c r="M75" s="466"/>
      <c r="N75" s="466"/>
      <c r="O75" s="466"/>
      <c r="P75" s="466"/>
    </row>
    <row r="76" spans="1:16" ht="18.75" hidden="1">
      <c r="A76" s="1576" t="s">
        <v>4</v>
      </c>
      <c r="B76" s="1576"/>
      <c r="C76" s="1576"/>
      <c r="D76" s="1576"/>
      <c r="E76" s="453"/>
      <c r="F76" s="453"/>
      <c r="G76" s="480"/>
      <c r="H76" s="1577" t="s">
        <v>519</v>
      </c>
      <c r="I76" s="1577"/>
      <c r="J76" s="1577"/>
      <c r="K76" s="1577"/>
      <c r="L76" s="1577"/>
      <c r="M76" s="466"/>
      <c r="N76" s="466"/>
      <c r="O76" s="466"/>
      <c r="P76" s="466"/>
    </row>
    <row r="77" ht="15" hidden="1"/>
    <row r="78" ht="15" hidden="1"/>
    <row r="79" ht="15" hidden="1"/>
    <row r="80" ht="15" hidden="1"/>
    <row r="81" ht="15" hidden="1"/>
    <row r="82" ht="15" hidden="1"/>
    <row r="83" ht="15" hidden="1"/>
    <row r="84" ht="15" hidden="1"/>
    <row r="85" ht="15" hidden="1"/>
    <row r="86" ht="15" hidden="1"/>
    <row r="87" spans="1:13" ht="16.5" hidden="1">
      <c r="A87" s="1560" t="s">
        <v>33</v>
      </c>
      <c r="B87" s="1561"/>
      <c r="C87" s="462"/>
      <c r="D87" s="1537" t="s">
        <v>79</v>
      </c>
      <c r="E87" s="1537"/>
      <c r="F87" s="1537"/>
      <c r="G87" s="1537"/>
      <c r="H87" s="1537"/>
      <c r="I87" s="1537"/>
      <c r="J87" s="1537"/>
      <c r="K87" s="1562"/>
      <c r="L87" s="1562"/>
      <c r="M87" s="466"/>
    </row>
    <row r="88" spans="1:13" ht="16.5" hidden="1">
      <c r="A88" s="1526" t="s">
        <v>342</v>
      </c>
      <c r="B88" s="1526"/>
      <c r="C88" s="1526"/>
      <c r="D88" s="1537" t="s">
        <v>216</v>
      </c>
      <c r="E88" s="1537"/>
      <c r="F88" s="1537"/>
      <c r="G88" s="1537"/>
      <c r="H88" s="1537"/>
      <c r="I88" s="1537"/>
      <c r="J88" s="1537"/>
      <c r="K88" s="1574" t="s">
        <v>506</v>
      </c>
      <c r="L88" s="1574"/>
      <c r="M88" s="463"/>
    </row>
    <row r="89" spans="1:13" ht="16.5" hidden="1">
      <c r="A89" s="1526" t="s">
        <v>343</v>
      </c>
      <c r="B89" s="1526"/>
      <c r="C89" s="413"/>
      <c r="D89" s="1541" t="s">
        <v>11</v>
      </c>
      <c r="E89" s="1541"/>
      <c r="F89" s="1541"/>
      <c r="G89" s="1541"/>
      <c r="H89" s="1541"/>
      <c r="I89" s="1541"/>
      <c r="J89" s="1541"/>
      <c r="K89" s="1562"/>
      <c r="L89" s="1562"/>
      <c r="M89" s="466"/>
    </row>
    <row r="90" spans="1:13" ht="15.75" hidden="1">
      <c r="A90" s="432" t="s">
        <v>119</v>
      </c>
      <c r="B90" s="432"/>
      <c r="C90" s="418"/>
      <c r="D90" s="467"/>
      <c r="E90" s="467"/>
      <c r="F90" s="468"/>
      <c r="G90" s="468"/>
      <c r="H90" s="468"/>
      <c r="I90" s="468"/>
      <c r="J90" s="468"/>
      <c r="K90" s="1578"/>
      <c r="L90" s="1578"/>
      <c r="M90" s="463"/>
    </row>
    <row r="91" spans="1:13" ht="15.75" hidden="1">
      <c r="A91" s="467"/>
      <c r="B91" s="467" t="s">
        <v>94</v>
      </c>
      <c r="C91" s="467"/>
      <c r="D91" s="467"/>
      <c r="E91" s="467"/>
      <c r="F91" s="467"/>
      <c r="G91" s="467"/>
      <c r="H91" s="467"/>
      <c r="I91" s="467"/>
      <c r="J91" s="467"/>
      <c r="K91" s="1563"/>
      <c r="L91" s="1563"/>
      <c r="M91" s="463"/>
    </row>
    <row r="92" spans="1:13" ht="15.75" hidden="1">
      <c r="A92" s="1256" t="s">
        <v>71</v>
      </c>
      <c r="B92" s="1257"/>
      <c r="C92" s="1542" t="s">
        <v>38</v>
      </c>
      <c r="D92" s="1564" t="s">
        <v>339</v>
      </c>
      <c r="E92" s="1564"/>
      <c r="F92" s="1564"/>
      <c r="G92" s="1564"/>
      <c r="H92" s="1564"/>
      <c r="I92" s="1564"/>
      <c r="J92" s="1564"/>
      <c r="K92" s="1564"/>
      <c r="L92" s="1564"/>
      <c r="M92" s="466"/>
    </row>
    <row r="93" spans="1:13" ht="15.75" hidden="1">
      <c r="A93" s="1258"/>
      <c r="B93" s="1259"/>
      <c r="C93" s="1542"/>
      <c r="D93" s="1579" t="s">
        <v>207</v>
      </c>
      <c r="E93" s="1580"/>
      <c r="F93" s="1580"/>
      <c r="G93" s="1580"/>
      <c r="H93" s="1580"/>
      <c r="I93" s="1580"/>
      <c r="J93" s="1581"/>
      <c r="K93" s="1582" t="s">
        <v>208</v>
      </c>
      <c r="L93" s="1582" t="s">
        <v>209</v>
      </c>
      <c r="M93" s="463"/>
    </row>
    <row r="94" spans="1:13" ht="15.75" hidden="1">
      <c r="A94" s="1258"/>
      <c r="B94" s="1259"/>
      <c r="C94" s="1542"/>
      <c r="D94" s="1587" t="s">
        <v>37</v>
      </c>
      <c r="E94" s="1588" t="s">
        <v>7</v>
      </c>
      <c r="F94" s="1589"/>
      <c r="G94" s="1589"/>
      <c r="H94" s="1589"/>
      <c r="I94" s="1589"/>
      <c r="J94" s="1590"/>
      <c r="K94" s="1583"/>
      <c r="L94" s="1585"/>
      <c r="M94" s="463"/>
    </row>
    <row r="95" spans="1:16" ht="15.75" hidden="1">
      <c r="A95" s="1546"/>
      <c r="B95" s="1547"/>
      <c r="C95" s="1542"/>
      <c r="D95" s="1587"/>
      <c r="E95" s="469" t="s">
        <v>210</v>
      </c>
      <c r="F95" s="469" t="s">
        <v>211</v>
      </c>
      <c r="G95" s="469" t="s">
        <v>212</v>
      </c>
      <c r="H95" s="469" t="s">
        <v>213</v>
      </c>
      <c r="I95" s="469" t="s">
        <v>344</v>
      </c>
      <c r="J95" s="469" t="s">
        <v>214</v>
      </c>
      <c r="K95" s="1584"/>
      <c r="L95" s="1586"/>
      <c r="M95" s="1540" t="s">
        <v>500</v>
      </c>
      <c r="N95" s="1540"/>
      <c r="O95" s="1540"/>
      <c r="P95" s="1540"/>
    </row>
    <row r="96" spans="1:16" ht="15" hidden="1">
      <c r="A96" s="1544" t="s">
        <v>6</v>
      </c>
      <c r="B96" s="1545"/>
      <c r="C96" s="470">
        <v>1</v>
      </c>
      <c r="D96" s="471">
        <v>2</v>
      </c>
      <c r="E96" s="470">
        <v>3</v>
      </c>
      <c r="F96" s="471">
        <v>4</v>
      </c>
      <c r="G96" s="470">
        <v>5</v>
      </c>
      <c r="H96" s="471">
        <v>6</v>
      </c>
      <c r="I96" s="470">
        <v>7</v>
      </c>
      <c r="J96" s="471">
        <v>8</v>
      </c>
      <c r="K96" s="470">
        <v>9</v>
      </c>
      <c r="L96" s="471">
        <v>10</v>
      </c>
      <c r="M96" s="472" t="s">
        <v>501</v>
      </c>
      <c r="N96" s="473" t="s">
        <v>504</v>
      </c>
      <c r="O96" s="473" t="s">
        <v>502</v>
      </c>
      <c r="P96" s="473" t="s">
        <v>503</v>
      </c>
    </row>
    <row r="97" spans="1:16" ht="24.75" customHeight="1" hidden="1">
      <c r="A97" s="425" t="s">
        <v>0</v>
      </c>
      <c r="B97" s="426" t="s">
        <v>131</v>
      </c>
      <c r="C97" s="404">
        <f>C98+C99</f>
        <v>77698000</v>
      </c>
      <c r="D97" s="404">
        <f aca="true" t="shared" si="21" ref="D97:L97">D98+D99</f>
        <v>1726087</v>
      </c>
      <c r="E97" s="404">
        <f t="shared" si="21"/>
        <v>992526</v>
      </c>
      <c r="F97" s="404">
        <f t="shared" si="21"/>
        <v>0</v>
      </c>
      <c r="G97" s="404">
        <f t="shared" si="21"/>
        <v>434217</v>
      </c>
      <c r="H97" s="404">
        <f t="shared" si="21"/>
        <v>110298</v>
      </c>
      <c r="I97" s="404">
        <f t="shared" si="21"/>
        <v>20700</v>
      </c>
      <c r="J97" s="404">
        <f t="shared" si="21"/>
        <v>168346</v>
      </c>
      <c r="K97" s="404">
        <f t="shared" si="21"/>
        <v>73826163</v>
      </c>
      <c r="L97" s="404">
        <f t="shared" si="21"/>
        <v>2145750</v>
      </c>
      <c r="M97" s="404" t="e">
        <f>'03'!#REF!+'04'!#REF!</f>
        <v>#REF!</v>
      </c>
      <c r="N97" s="404" t="e">
        <f>C97-M97</f>
        <v>#REF!</v>
      </c>
      <c r="O97" s="404">
        <f>'07'!C26</f>
        <v>493985229</v>
      </c>
      <c r="P97" s="404">
        <f>C97-O97</f>
        <v>-416287229</v>
      </c>
    </row>
    <row r="98" spans="1:16" ht="24.75" customHeight="1" hidden="1">
      <c r="A98" s="428">
        <v>1</v>
      </c>
      <c r="B98" s="429" t="s">
        <v>132</v>
      </c>
      <c r="C98" s="404">
        <f>D98+K98+L98</f>
        <v>42623095</v>
      </c>
      <c r="D98" s="404">
        <f>E98+F98+G98+H98+I98+J98</f>
        <v>901808</v>
      </c>
      <c r="E98" s="406">
        <v>547691</v>
      </c>
      <c r="F98" s="406"/>
      <c r="G98" s="406">
        <v>256217</v>
      </c>
      <c r="H98" s="406">
        <v>65000</v>
      </c>
      <c r="I98" s="406">
        <v>20700</v>
      </c>
      <c r="J98" s="406">
        <v>12200</v>
      </c>
      <c r="K98" s="406">
        <v>40571287</v>
      </c>
      <c r="L98" s="406">
        <v>1150000</v>
      </c>
      <c r="M98" s="406" t="e">
        <f>'03'!#REF!+'04'!#REF!</f>
        <v>#REF!</v>
      </c>
      <c r="N98" s="406" t="e">
        <f aca="true" t="shared" si="22" ref="N98:N112">C98-M98</f>
        <v>#REF!</v>
      </c>
      <c r="O98" s="406">
        <f>'07'!D26</f>
        <v>395137259</v>
      </c>
      <c r="P98" s="406">
        <f aca="true" t="shared" si="23" ref="P98:P112">C98-O98</f>
        <v>-352514164</v>
      </c>
    </row>
    <row r="99" spans="1:16" ht="24.75" customHeight="1" hidden="1">
      <c r="A99" s="428">
        <v>2</v>
      </c>
      <c r="B99" s="429" t="s">
        <v>133</v>
      </c>
      <c r="C99" s="404">
        <f>D99+K99+L99</f>
        <v>35074905</v>
      </c>
      <c r="D99" s="404">
        <f>E99+F99+G99+H99+I99+J99</f>
        <v>824279</v>
      </c>
      <c r="E99" s="406">
        <v>444835</v>
      </c>
      <c r="F99" s="406"/>
      <c r="G99" s="406">
        <v>178000</v>
      </c>
      <c r="H99" s="406">
        <v>45298</v>
      </c>
      <c r="I99" s="406"/>
      <c r="J99" s="406">
        <v>156146</v>
      </c>
      <c r="K99" s="406">
        <v>33254876</v>
      </c>
      <c r="L99" s="406">
        <v>995750</v>
      </c>
      <c r="M99" s="406" t="e">
        <f>'03'!#REF!+'04'!#REF!</f>
        <v>#REF!</v>
      </c>
      <c r="N99" s="406" t="e">
        <f t="shared" si="22"/>
        <v>#REF!</v>
      </c>
      <c r="O99" s="406">
        <f>'07'!E26</f>
        <v>98847970</v>
      </c>
      <c r="P99" s="406">
        <f t="shared" si="23"/>
        <v>-63773065</v>
      </c>
    </row>
    <row r="100" spans="1:16" ht="24.75" customHeight="1" hidden="1">
      <c r="A100" s="394" t="s">
        <v>1</v>
      </c>
      <c r="B100" s="395" t="s">
        <v>134</v>
      </c>
      <c r="C100" s="404">
        <f>D100+K100+L100</f>
        <v>4094298</v>
      </c>
      <c r="D100" s="404">
        <f>E100+F100+G100+H100+I100+J100</f>
        <v>29764</v>
      </c>
      <c r="E100" s="406">
        <v>10764</v>
      </c>
      <c r="F100" s="406"/>
      <c r="G100" s="406">
        <v>19000</v>
      </c>
      <c r="H100" s="406"/>
      <c r="I100" s="406"/>
      <c r="J100" s="406"/>
      <c r="K100" s="406">
        <v>3103784</v>
      </c>
      <c r="L100" s="406">
        <v>960750</v>
      </c>
      <c r="M100" s="406" t="e">
        <f>'03'!#REF!+'04'!#REF!</f>
        <v>#REF!</v>
      </c>
      <c r="N100" s="406" t="e">
        <f t="shared" si="22"/>
        <v>#REF!</v>
      </c>
      <c r="O100" s="406">
        <f>'07'!F26</f>
        <v>11917956</v>
      </c>
      <c r="P100" s="406">
        <f t="shared" si="23"/>
        <v>-7823658</v>
      </c>
    </row>
    <row r="101" spans="1:16" ht="24.75" customHeight="1" hidden="1">
      <c r="A101" s="394" t="s">
        <v>9</v>
      </c>
      <c r="B101" s="395" t="s">
        <v>135</v>
      </c>
      <c r="C101" s="404">
        <f>D101+K101+L101</f>
        <v>0</v>
      </c>
      <c r="D101" s="404">
        <f>E101+F101+G101+H101+I101+J101</f>
        <v>0</v>
      </c>
      <c r="E101" s="406"/>
      <c r="F101" s="406"/>
      <c r="G101" s="406"/>
      <c r="H101" s="406"/>
      <c r="I101" s="406"/>
      <c r="J101" s="406"/>
      <c r="K101" s="406"/>
      <c r="L101" s="406"/>
      <c r="M101" s="406" t="e">
        <f>'03'!#REF!+'04'!#REF!</f>
        <v>#REF!</v>
      </c>
      <c r="N101" s="406" t="e">
        <f t="shared" si="22"/>
        <v>#REF!</v>
      </c>
      <c r="O101" s="406">
        <f>'07'!G26</f>
        <v>91294098</v>
      </c>
      <c r="P101" s="406">
        <f t="shared" si="23"/>
        <v>-91294098</v>
      </c>
    </row>
    <row r="102" spans="1:16" ht="24.75" customHeight="1" hidden="1">
      <c r="A102" s="394" t="s">
        <v>136</v>
      </c>
      <c r="B102" s="395" t="s">
        <v>137</v>
      </c>
      <c r="C102" s="404">
        <f>C103+C112</f>
        <v>73603702</v>
      </c>
      <c r="D102" s="404">
        <f aca="true" t="shared" si="24" ref="D102:L102">D103+D112</f>
        <v>1696323</v>
      </c>
      <c r="E102" s="404">
        <f t="shared" si="24"/>
        <v>981762</v>
      </c>
      <c r="F102" s="404">
        <f t="shared" si="24"/>
        <v>0</v>
      </c>
      <c r="G102" s="404">
        <f t="shared" si="24"/>
        <v>415217</v>
      </c>
      <c r="H102" s="404">
        <f t="shared" si="24"/>
        <v>110298</v>
      </c>
      <c r="I102" s="404">
        <f t="shared" si="24"/>
        <v>20700</v>
      </c>
      <c r="J102" s="404">
        <f t="shared" si="24"/>
        <v>168346</v>
      </c>
      <c r="K102" s="404">
        <f t="shared" si="24"/>
        <v>70722379</v>
      </c>
      <c r="L102" s="404">
        <f t="shared" si="24"/>
        <v>1185000</v>
      </c>
      <c r="M102" s="404" t="e">
        <f>'03'!#REF!+'04'!#REF!</f>
        <v>#REF!</v>
      </c>
      <c r="N102" s="404" t="e">
        <f t="shared" si="22"/>
        <v>#REF!</v>
      </c>
      <c r="O102" s="404">
        <f>'07'!H26</f>
        <v>482067273</v>
      </c>
      <c r="P102" s="404">
        <f t="shared" si="23"/>
        <v>-408463571</v>
      </c>
    </row>
    <row r="103" spans="1:16" ht="24.75" customHeight="1" hidden="1">
      <c r="A103" s="394" t="s">
        <v>52</v>
      </c>
      <c r="B103" s="430" t="s">
        <v>138</v>
      </c>
      <c r="C103" s="404">
        <f>SUM(C104:C111)</f>
        <v>72849668</v>
      </c>
      <c r="D103" s="404">
        <f aca="true" t="shared" si="25" ref="D103:L103">SUM(D104:D111)</f>
        <v>942289</v>
      </c>
      <c r="E103" s="404">
        <f t="shared" si="25"/>
        <v>526845</v>
      </c>
      <c r="F103" s="404">
        <f t="shared" si="25"/>
        <v>0</v>
      </c>
      <c r="G103" s="404">
        <f t="shared" si="25"/>
        <v>197800</v>
      </c>
      <c r="H103" s="404">
        <f t="shared" si="25"/>
        <v>49298</v>
      </c>
      <c r="I103" s="404">
        <f t="shared" si="25"/>
        <v>0</v>
      </c>
      <c r="J103" s="404">
        <f t="shared" si="25"/>
        <v>168346</v>
      </c>
      <c r="K103" s="404">
        <f t="shared" si="25"/>
        <v>70722379</v>
      </c>
      <c r="L103" s="404">
        <f t="shared" si="25"/>
        <v>1185000</v>
      </c>
      <c r="M103" s="404" t="e">
        <f>'03'!#REF!+'04'!#REF!</f>
        <v>#REF!</v>
      </c>
      <c r="N103" s="404" t="e">
        <f t="shared" si="22"/>
        <v>#REF!</v>
      </c>
      <c r="O103" s="404">
        <f>'07'!I26</f>
        <v>457984105</v>
      </c>
      <c r="P103" s="404">
        <f t="shared" si="23"/>
        <v>-385134437</v>
      </c>
    </row>
    <row r="104" spans="1:16" ht="24.75" customHeight="1" hidden="1">
      <c r="A104" s="428" t="s">
        <v>54</v>
      </c>
      <c r="B104" s="429" t="s">
        <v>139</v>
      </c>
      <c r="C104" s="404">
        <f aca="true" t="shared" si="26" ref="C104:C112">D104+K104+L104</f>
        <v>4196249</v>
      </c>
      <c r="D104" s="404">
        <f aca="true" t="shared" si="27" ref="D104:D112">E104+F104+G104+H104+I104+J104</f>
        <v>562189</v>
      </c>
      <c r="E104" s="406">
        <v>241945</v>
      </c>
      <c r="F104" s="406"/>
      <c r="G104" s="406">
        <v>107000</v>
      </c>
      <c r="H104" s="406">
        <v>45298</v>
      </c>
      <c r="I104" s="406"/>
      <c r="J104" s="406">
        <v>167946</v>
      </c>
      <c r="K104" s="406">
        <v>3609060</v>
      </c>
      <c r="L104" s="406">
        <v>25000</v>
      </c>
      <c r="M104" s="406" t="e">
        <f>'03'!#REF!+'04'!#REF!</f>
        <v>#REF!</v>
      </c>
      <c r="N104" s="406" t="e">
        <f t="shared" si="22"/>
        <v>#REF!</v>
      </c>
      <c r="O104" s="406">
        <f>'07'!J26</f>
        <v>41489563</v>
      </c>
      <c r="P104" s="406">
        <f t="shared" si="23"/>
        <v>-37293314</v>
      </c>
    </row>
    <row r="105" spans="1:16" ht="24.75" customHeight="1" hidden="1">
      <c r="A105" s="428" t="s">
        <v>55</v>
      </c>
      <c r="B105" s="429" t="s">
        <v>140</v>
      </c>
      <c r="C105" s="404">
        <f t="shared" si="26"/>
        <v>0</v>
      </c>
      <c r="D105" s="404">
        <f t="shared" si="27"/>
        <v>0</v>
      </c>
      <c r="E105" s="406"/>
      <c r="F105" s="406"/>
      <c r="G105" s="406"/>
      <c r="H105" s="406"/>
      <c r="I105" s="406"/>
      <c r="J105" s="406"/>
      <c r="K105" s="406"/>
      <c r="L105" s="406"/>
      <c r="M105" s="406" t="e">
        <f>'03'!#REF!+'04'!#REF!</f>
        <v>#REF!</v>
      </c>
      <c r="N105" s="406" t="e">
        <f t="shared" si="22"/>
        <v>#REF!</v>
      </c>
      <c r="O105" s="406">
        <f>'07'!K26</f>
        <v>169378136</v>
      </c>
      <c r="P105" s="406">
        <f t="shared" si="23"/>
        <v>-169378136</v>
      </c>
    </row>
    <row r="106" spans="1:16" ht="24.75" customHeight="1" hidden="1">
      <c r="A106" s="428" t="s">
        <v>141</v>
      </c>
      <c r="B106" s="429" t="s">
        <v>202</v>
      </c>
      <c r="C106" s="404">
        <f t="shared" si="26"/>
        <v>0</v>
      </c>
      <c r="D106" s="404">
        <f t="shared" si="27"/>
        <v>0</v>
      </c>
      <c r="E106" s="406"/>
      <c r="F106" s="406"/>
      <c r="G106" s="406"/>
      <c r="H106" s="406"/>
      <c r="I106" s="406"/>
      <c r="J106" s="406"/>
      <c r="K106" s="406"/>
      <c r="L106" s="406"/>
      <c r="M106" s="406" t="e">
        <f>'03'!#REF!</f>
        <v>#REF!</v>
      </c>
      <c r="N106" s="406" t="e">
        <f t="shared" si="22"/>
        <v>#REF!</v>
      </c>
      <c r="O106" s="406">
        <f>'07'!L26</f>
        <v>17685</v>
      </c>
      <c r="P106" s="406">
        <f t="shared" si="23"/>
        <v>-17685</v>
      </c>
    </row>
    <row r="107" spans="1:16" ht="24.75" customHeight="1" hidden="1">
      <c r="A107" s="428" t="s">
        <v>143</v>
      </c>
      <c r="B107" s="429" t="s">
        <v>142</v>
      </c>
      <c r="C107" s="404">
        <f t="shared" si="26"/>
        <v>67438608</v>
      </c>
      <c r="D107" s="404">
        <f t="shared" si="27"/>
        <v>315289</v>
      </c>
      <c r="E107" s="406">
        <v>220089</v>
      </c>
      <c r="F107" s="406"/>
      <c r="G107" s="406">
        <v>90800</v>
      </c>
      <c r="H107" s="406">
        <v>4000</v>
      </c>
      <c r="I107" s="406"/>
      <c r="J107" s="406">
        <v>400</v>
      </c>
      <c r="K107" s="406">
        <v>67113319</v>
      </c>
      <c r="L107" s="406">
        <v>10000</v>
      </c>
      <c r="M107" s="406" t="e">
        <f>'03'!#REF!+'04'!#REF!</f>
        <v>#REF!</v>
      </c>
      <c r="N107" s="406" t="e">
        <f t="shared" si="22"/>
        <v>#REF!</v>
      </c>
      <c r="O107" s="406">
        <f>'07'!M26</f>
        <v>229055400</v>
      </c>
      <c r="P107" s="406">
        <f t="shared" si="23"/>
        <v>-161616792</v>
      </c>
    </row>
    <row r="108" spans="1:16" ht="24.75" customHeight="1" hidden="1">
      <c r="A108" s="428" t="s">
        <v>145</v>
      </c>
      <c r="B108" s="429" t="s">
        <v>144</v>
      </c>
      <c r="C108" s="404">
        <f t="shared" si="26"/>
        <v>1214811</v>
      </c>
      <c r="D108" s="404">
        <f t="shared" si="27"/>
        <v>64811</v>
      </c>
      <c r="E108" s="406">
        <v>64811</v>
      </c>
      <c r="F108" s="406"/>
      <c r="G108" s="406"/>
      <c r="H108" s="406"/>
      <c r="I108" s="406"/>
      <c r="J108" s="406"/>
      <c r="K108" s="406"/>
      <c r="L108" s="406">
        <v>1150000</v>
      </c>
      <c r="M108" s="406" t="e">
        <f>'03'!#REF!+'04'!#REF!</f>
        <v>#REF!</v>
      </c>
      <c r="N108" s="406" t="e">
        <f t="shared" si="22"/>
        <v>#REF!</v>
      </c>
      <c r="O108" s="406">
        <f>'07'!N26</f>
        <v>13917024</v>
      </c>
      <c r="P108" s="406">
        <f t="shared" si="23"/>
        <v>-12702213</v>
      </c>
    </row>
    <row r="109" spans="1:16" ht="24.75" customHeight="1" hidden="1">
      <c r="A109" s="428" t="s">
        <v>147</v>
      </c>
      <c r="B109" s="429" t="s">
        <v>146</v>
      </c>
      <c r="C109" s="404">
        <f t="shared" si="26"/>
        <v>0</v>
      </c>
      <c r="D109" s="404">
        <f t="shared" si="27"/>
        <v>0</v>
      </c>
      <c r="E109" s="406"/>
      <c r="F109" s="406"/>
      <c r="G109" s="406"/>
      <c r="H109" s="406"/>
      <c r="I109" s="406"/>
      <c r="J109" s="406"/>
      <c r="K109" s="406"/>
      <c r="L109" s="406"/>
      <c r="M109" s="406" t="e">
        <f>'03'!#REF!+'04'!#REF!</f>
        <v>#REF!</v>
      </c>
      <c r="N109" s="406" t="e">
        <f t="shared" si="22"/>
        <v>#REF!</v>
      </c>
      <c r="O109" s="406">
        <f>'07'!O26</f>
        <v>2839762</v>
      </c>
      <c r="P109" s="406">
        <f t="shared" si="23"/>
        <v>-2839762</v>
      </c>
    </row>
    <row r="110" spans="1:16" ht="24.75" customHeight="1" hidden="1">
      <c r="A110" s="428" t="s">
        <v>149</v>
      </c>
      <c r="B110" s="431" t="s">
        <v>148</v>
      </c>
      <c r="C110" s="404">
        <f t="shared" si="26"/>
        <v>0</v>
      </c>
      <c r="D110" s="404">
        <f t="shared" si="27"/>
        <v>0</v>
      </c>
      <c r="E110" s="406"/>
      <c r="F110" s="406"/>
      <c r="G110" s="406"/>
      <c r="H110" s="406"/>
      <c r="I110" s="406"/>
      <c r="J110" s="406"/>
      <c r="K110" s="406"/>
      <c r="L110" s="406"/>
      <c r="M110" s="406" t="e">
        <f>'03'!#REF!+'04'!#REF!</f>
        <v>#REF!</v>
      </c>
      <c r="N110" s="406" t="e">
        <f t="shared" si="22"/>
        <v>#REF!</v>
      </c>
      <c r="O110" s="406">
        <f>'07'!P26</f>
        <v>0</v>
      </c>
      <c r="P110" s="406">
        <f t="shared" si="23"/>
        <v>0</v>
      </c>
    </row>
    <row r="111" spans="1:16" ht="24.75" customHeight="1" hidden="1">
      <c r="A111" s="428" t="s">
        <v>186</v>
      </c>
      <c r="B111" s="429" t="s">
        <v>150</v>
      </c>
      <c r="C111" s="404">
        <f t="shared" si="26"/>
        <v>0</v>
      </c>
      <c r="D111" s="404">
        <f t="shared" si="27"/>
        <v>0</v>
      </c>
      <c r="E111" s="406"/>
      <c r="F111" s="406"/>
      <c r="G111" s="406"/>
      <c r="H111" s="406"/>
      <c r="I111" s="406"/>
      <c r="J111" s="406"/>
      <c r="K111" s="406"/>
      <c r="L111" s="406"/>
      <c r="M111" s="406" t="e">
        <f>'03'!#REF!+'04'!#REF!</f>
        <v>#REF!</v>
      </c>
      <c r="N111" s="406" t="e">
        <f t="shared" si="22"/>
        <v>#REF!</v>
      </c>
      <c r="O111" s="406">
        <f>'07'!Q26</f>
        <v>1286535</v>
      </c>
      <c r="P111" s="406">
        <f t="shared" si="23"/>
        <v>-1286535</v>
      </c>
    </row>
    <row r="112" spans="1:16" ht="24.75" customHeight="1" hidden="1">
      <c r="A112" s="394" t="s">
        <v>53</v>
      </c>
      <c r="B112" s="395" t="s">
        <v>151</v>
      </c>
      <c r="C112" s="404">
        <f t="shared" si="26"/>
        <v>754034</v>
      </c>
      <c r="D112" s="404">
        <f t="shared" si="27"/>
        <v>754034</v>
      </c>
      <c r="E112" s="406">
        <v>454917</v>
      </c>
      <c r="F112" s="406"/>
      <c r="G112" s="406">
        <v>217417</v>
      </c>
      <c r="H112" s="406">
        <v>61000</v>
      </c>
      <c r="I112" s="406">
        <v>20700</v>
      </c>
      <c r="J112" s="406"/>
      <c r="K112" s="406"/>
      <c r="L112" s="406"/>
      <c r="M112" s="404" t="e">
        <f>'03'!#REF!+'04'!#REF!</f>
        <v>#REF!</v>
      </c>
      <c r="N112" s="404" t="e">
        <f t="shared" si="22"/>
        <v>#REF!</v>
      </c>
      <c r="O112" s="404">
        <f>'07'!R26</f>
        <v>24083168</v>
      </c>
      <c r="P112" s="404">
        <f t="shared" si="23"/>
        <v>-23329134</v>
      </c>
    </row>
    <row r="113" spans="1:16" ht="25.5" hidden="1">
      <c r="A113" s="452" t="s">
        <v>76</v>
      </c>
      <c r="B113" s="477" t="s">
        <v>215</v>
      </c>
      <c r="C113" s="461">
        <f>(C104+C105+C106)/C103</f>
        <v>0.05760148419619428</v>
      </c>
      <c r="D113" s="396">
        <f aca="true" t="shared" si="28" ref="D113:L113">(D104+D105+D106)/D103</f>
        <v>0.5966205696978315</v>
      </c>
      <c r="E113" s="412">
        <f t="shared" si="28"/>
        <v>0.45923374047395343</v>
      </c>
      <c r="F113" s="412" t="e">
        <f t="shared" si="28"/>
        <v>#DIV/0!</v>
      </c>
      <c r="G113" s="412">
        <f t="shared" si="28"/>
        <v>0.5409504550050556</v>
      </c>
      <c r="H113" s="412">
        <f t="shared" si="28"/>
        <v>0.9188608057121993</v>
      </c>
      <c r="I113" s="412" t="e">
        <f t="shared" si="28"/>
        <v>#DIV/0!</v>
      </c>
      <c r="J113" s="412">
        <f t="shared" si="28"/>
        <v>0.9976239411687834</v>
      </c>
      <c r="K113" s="412">
        <f t="shared" si="28"/>
        <v>0.05103137155496423</v>
      </c>
      <c r="L113" s="412">
        <f t="shared" si="28"/>
        <v>0.02109704641350211</v>
      </c>
      <c r="M113" s="422"/>
      <c r="N113" s="478"/>
      <c r="O113" s="478"/>
      <c r="P113" s="478"/>
    </row>
    <row r="114" spans="1:16" ht="17.25" hidden="1">
      <c r="A114" s="1548" t="s">
        <v>498</v>
      </c>
      <c r="B114" s="1548"/>
      <c r="C114" s="406">
        <f>C97-C100-C101-C102</f>
        <v>0</v>
      </c>
      <c r="D114" s="406">
        <f aca="true" t="shared" si="29" ref="D114:L114">D97-D100-D101-D102</f>
        <v>0</v>
      </c>
      <c r="E114" s="406">
        <f t="shared" si="29"/>
        <v>0</v>
      </c>
      <c r="F114" s="406">
        <f t="shared" si="29"/>
        <v>0</v>
      </c>
      <c r="G114" s="406">
        <f t="shared" si="29"/>
        <v>0</v>
      </c>
      <c r="H114" s="406">
        <f t="shared" si="29"/>
        <v>0</v>
      </c>
      <c r="I114" s="406">
        <f t="shared" si="29"/>
        <v>0</v>
      </c>
      <c r="J114" s="406">
        <f t="shared" si="29"/>
        <v>0</v>
      </c>
      <c r="K114" s="406">
        <f t="shared" si="29"/>
        <v>0</v>
      </c>
      <c r="L114" s="406">
        <f t="shared" si="29"/>
        <v>0</v>
      </c>
      <c r="M114" s="422"/>
      <c r="N114" s="478"/>
      <c r="O114" s="478"/>
      <c r="P114" s="478"/>
    </row>
    <row r="115" spans="1:16" ht="17.25" hidden="1">
      <c r="A115" s="1549" t="s">
        <v>499</v>
      </c>
      <c r="B115" s="1549"/>
      <c r="C115" s="406">
        <f>C102-C103-C112</f>
        <v>0</v>
      </c>
      <c r="D115" s="406">
        <f aca="true" t="shared" si="30" ref="D115:L115">D102-D103-D112</f>
        <v>0</v>
      </c>
      <c r="E115" s="406">
        <f t="shared" si="30"/>
        <v>0</v>
      </c>
      <c r="F115" s="406">
        <f t="shared" si="30"/>
        <v>0</v>
      </c>
      <c r="G115" s="406">
        <f t="shared" si="30"/>
        <v>0</v>
      </c>
      <c r="H115" s="406">
        <f t="shared" si="30"/>
        <v>0</v>
      </c>
      <c r="I115" s="406">
        <f t="shared" si="30"/>
        <v>0</v>
      </c>
      <c r="J115" s="406">
        <f t="shared" si="30"/>
        <v>0</v>
      </c>
      <c r="K115" s="406">
        <f t="shared" si="30"/>
        <v>0</v>
      </c>
      <c r="L115" s="406">
        <f t="shared" si="30"/>
        <v>0</v>
      </c>
      <c r="M115" s="422"/>
      <c r="N115" s="478"/>
      <c r="O115" s="478"/>
      <c r="P115" s="478"/>
    </row>
    <row r="116" spans="1:16" ht="18.75" hidden="1">
      <c r="A116" s="463"/>
      <c r="B116" s="479" t="s">
        <v>518</v>
      </c>
      <c r="C116" s="479"/>
      <c r="D116" s="453"/>
      <c r="E116" s="453"/>
      <c r="F116" s="453"/>
      <c r="G116" s="1575" t="s">
        <v>518</v>
      </c>
      <c r="H116" s="1575"/>
      <c r="I116" s="1575"/>
      <c r="J116" s="1575"/>
      <c r="K116" s="1575"/>
      <c r="L116" s="1575"/>
      <c r="M116" s="466"/>
      <c r="N116" s="466"/>
      <c r="O116" s="466"/>
      <c r="P116" s="466"/>
    </row>
    <row r="117" spans="1:16" ht="18.75" hidden="1">
      <c r="A117" s="1576" t="s">
        <v>4</v>
      </c>
      <c r="B117" s="1576"/>
      <c r="C117" s="1576"/>
      <c r="D117" s="1576"/>
      <c r="E117" s="453"/>
      <c r="F117" s="453"/>
      <c r="G117" s="480"/>
      <c r="H117" s="1577" t="s">
        <v>519</v>
      </c>
      <c r="I117" s="1577"/>
      <c r="J117" s="1577"/>
      <c r="K117" s="1577"/>
      <c r="L117" s="1577"/>
      <c r="M117" s="466"/>
      <c r="N117" s="466"/>
      <c r="O117" s="466"/>
      <c r="P117" s="466"/>
    </row>
    <row r="118" ht="15" hidden="1"/>
    <row r="119" ht="15" hidden="1"/>
    <row r="120" ht="15" hidden="1"/>
    <row r="121" ht="15" hidden="1"/>
    <row r="122" ht="15" hidden="1"/>
    <row r="123" ht="15" hidden="1"/>
    <row r="124" ht="15" hidden="1"/>
    <row r="125" ht="15" hidden="1"/>
    <row r="126" ht="15" hidden="1"/>
    <row r="127" ht="15" hidden="1"/>
    <row r="128" ht="15" hidden="1"/>
    <row r="129" ht="15" hidden="1"/>
    <row r="130" spans="1:13" ht="16.5" hidden="1">
      <c r="A130" s="1560" t="s">
        <v>33</v>
      </c>
      <c r="B130" s="1561"/>
      <c r="C130" s="462"/>
      <c r="D130" s="1537" t="s">
        <v>79</v>
      </c>
      <c r="E130" s="1537"/>
      <c r="F130" s="1537"/>
      <c r="G130" s="1537"/>
      <c r="H130" s="1537"/>
      <c r="I130" s="1537"/>
      <c r="J130" s="1537"/>
      <c r="K130" s="1562"/>
      <c r="L130" s="1562"/>
      <c r="M130" s="466"/>
    </row>
    <row r="131" spans="1:13" ht="16.5" hidden="1">
      <c r="A131" s="1526" t="s">
        <v>342</v>
      </c>
      <c r="B131" s="1526"/>
      <c r="C131" s="1526"/>
      <c r="D131" s="1537" t="s">
        <v>216</v>
      </c>
      <c r="E131" s="1537"/>
      <c r="F131" s="1537"/>
      <c r="G131" s="1537"/>
      <c r="H131" s="1537"/>
      <c r="I131" s="1537"/>
      <c r="J131" s="1537"/>
      <c r="K131" s="1574" t="s">
        <v>507</v>
      </c>
      <c r="L131" s="1574"/>
      <c r="M131" s="463"/>
    </row>
    <row r="132" spans="1:13" ht="16.5" hidden="1">
      <c r="A132" s="1526" t="s">
        <v>343</v>
      </c>
      <c r="B132" s="1526"/>
      <c r="C132" s="413"/>
      <c r="D132" s="1541" t="s">
        <v>552</v>
      </c>
      <c r="E132" s="1541"/>
      <c r="F132" s="1541"/>
      <c r="G132" s="1541"/>
      <c r="H132" s="1541"/>
      <c r="I132" s="1541"/>
      <c r="J132" s="1541"/>
      <c r="K132" s="1562"/>
      <c r="L132" s="1562"/>
      <c r="M132" s="466"/>
    </row>
    <row r="133" spans="1:13" ht="15.75" hidden="1">
      <c r="A133" s="432" t="s">
        <v>119</v>
      </c>
      <c r="B133" s="432"/>
      <c r="C133" s="418"/>
      <c r="D133" s="467"/>
      <c r="E133" s="467"/>
      <c r="F133" s="468"/>
      <c r="G133" s="468"/>
      <c r="H133" s="468"/>
      <c r="I133" s="468"/>
      <c r="J133" s="468"/>
      <c r="K133" s="1578"/>
      <c r="L133" s="1578"/>
      <c r="M133" s="463"/>
    </row>
    <row r="134" spans="1:13" ht="15.75" hidden="1">
      <c r="A134" s="467"/>
      <c r="B134" s="467" t="s">
        <v>94</v>
      </c>
      <c r="C134" s="467"/>
      <c r="D134" s="467"/>
      <c r="E134" s="467"/>
      <c r="F134" s="467"/>
      <c r="G134" s="467"/>
      <c r="H134" s="467"/>
      <c r="I134" s="467"/>
      <c r="J134" s="467"/>
      <c r="K134" s="1563"/>
      <c r="L134" s="1563"/>
      <c r="M134" s="463"/>
    </row>
    <row r="135" spans="1:13" ht="15.75" hidden="1">
      <c r="A135" s="1256" t="s">
        <v>71</v>
      </c>
      <c r="B135" s="1257"/>
      <c r="C135" s="1542" t="s">
        <v>38</v>
      </c>
      <c r="D135" s="1564" t="s">
        <v>339</v>
      </c>
      <c r="E135" s="1564"/>
      <c r="F135" s="1564"/>
      <c r="G135" s="1564"/>
      <c r="H135" s="1564"/>
      <c r="I135" s="1564"/>
      <c r="J135" s="1564"/>
      <c r="K135" s="1564"/>
      <c r="L135" s="1564"/>
      <c r="M135" s="466"/>
    </row>
    <row r="136" spans="1:13" ht="15.75" hidden="1">
      <c r="A136" s="1258"/>
      <c r="B136" s="1259"/>
      <c r="C136" s="1542"/>
      <c r="D136" s="1579" t="s">
        <v>207</v>
      </c>
      <c r="E136" s="1580"/>
      <c r="F136" s="1580"/>
      <c r="G136" s="1580"/>
      <c r="H136" s="1580"/>
      <c r="I136" s="1580"/>
      <c r="J136" s="1581"/>
      <c r="K136" s="1582" t="s">
        <v>208</v>
      </c>
      <c r="L136" s="1582" t="s">
        <v>209</v>
      </c>
      <c r="M136" s="463"/>
    </row>
    <row r="137" spans="1:13" ht="15.75" hidden="1">
      <c r="A137" s="1258"/>
      <c r="B137" s="1259"/>
      <c r="C137" s="1542"/>
      <c r="D137" s="1587" t="s">
        <v>37</v>
      </c>
      <c r="E137" s="1588" t="s">
        <v>7</v>
      </c>
      <c r="F137" s="1589"/>
      <c r="G137" s="1589"/>
      <c r="H137" s="1589"/>
      <c r="I137" s="1589"/>
      <c r="J137" s="1590"/>
      <c r="K137" s="1583"/>
      <c r="L137" s="1585"/>
      <c r="M137" s="463"/>
    </row>
    <row r="138" spans="1:16" ht="15.75" hidden="1">
      <c r="A138" s="1546"/>
      <c r="B138" s="1547"/>
      <c r="C138" s="1542"/>
      <c r="D138" s="1587"/>
      <c r="E138" s="469" t="s">
        <v>210</v>
      </c>
      <c r="F138" s="469" t="s">
        <v>211</v>
      </c>
      <c r="G138" s="469" t="s">
        <v>212</v>
      </c>
      <c r="H138" s="469" t="s">
        <v>213</v>
      </c>
      <c r="I138" s="469" t="s">
        <v>344</v>
      </c>
      <c r="J138" s="469" t="s">
        <v>214</v>
      </c>
      <c r="K138" s="1584"/>
      <c r="L138" s="1586"/>
      <c r="M138" s="1540" t="s">
        <v>500</v>
      </c>
      <c r="N138" s="1540"/>
      <c r="O138" s="1540"/>
      <c r="P138" s="1540"/>
    </row>
    <row r="139" spans="1:16" ht="15" hidden="1">
      <c r="A139" s="1544" t="s">
        <v>6</v>
      </c>
      <c r="B139" s="1545"/>
      <c r="C139" s="470">
        <v>1</v>
      </c>
      <c r="D139" s="471">
        <v>2</v>
      </c>
      <c r="E139" s="470">
        <v>3</v>
      </c>
      <c r="F139" s="471">
        <v>4</v>
      </c>
      <c r="G139" s="470">
        <v>5</v>
      </c>
      <c r="H139" s="471">
        <v>6</v>
      </c>
      <c r="I139" s="470">
        <v>7</v>
      </c>
      <c r="J139" s="471">
        <v>8</v>
      </c>
      <c r="K139" s="470">
        <v>9</v>
      </c>
      <c r="L139" s="471">
        <v>10</v>
      </c>
      <c r="M139" s="472" t="s">
        <v>501</v>
      </c>
      <c r="N139" s="473" t="s">
        <v>504</v>
      </c>
      <c r="O139" s="473" t="s">
        <v>502</v>
      </c>
      <c r="P139" s="473" t="s">
        <v>503</v>
      </c>
    </row>
    <row r="140" spans="1:16" ht="24.75" customHeight="1" hidden="1">
      <c r="A140" s="425" t="s">
        <v>0</v>
      </c>
      <c r="B140" s="426" t="s">
        <v>131</v>
      </c>
      <c r="C140" s="404">
        <f>C141+C142</f>
        <v>3784244</v>
      </c>
      <c r="D140" s="404">
        <f aca="true" t="shared" si="31" ref="D140:L140">D141+D142</f>
        <v>154333</v>
      </c>
      <c r="E140" s="404">
        <f t="shared" si="31"/>
        <v>152430</v>
      </c>
      <c r="F140" s="404">
        <f t="shared" si="31"/>
        <v>0</v>
      </c>
      <c r="G140" s="404">
        <f t="shared" si="31"/>
        <v>0</v>
      </c>
      <c r="H140" s="404">
        <f t="shared" si="31"/>
        <v>0</v>
      </c>
      <c r="I140" s="404">
        <f t="shared" si="31"/>
        <v>1903</v>
      </c>
      <c r="J140" s="404">
        <f t="shared" si="31"/>
        <v>0</v>
      </c>
      <c r="K140" s="404">
        <f t="shared" si="31"/>
        <v>3419094</v>
      </c>
      <c r="L140" s="404">
        <f t="shared" si="31"/>
        <v>210817</v>
      </c>
      <c r="M140" s="404" t="e">
        <f>'03'!#REF!+'04'!#REF!</f>
        <v>#REF!</v>
      </c>
      <c r="N140" s="404" t="e">
        <f>C140-M140</f>
        <v>#REF!</v>
      </c>
      <c r="O140" s="404" t="e">
        <f>'07'!#REF!</f>
        <v>#REF!</v>
      </c>
      <c r="P140" s="404" t="e">
        <f>C140-O140</f>
        <v>#REF!</v>
      </c>
    </row>
    <row r="141" spans="1:16" ht="24.75" customHeight="1" hidden="1">
      <c r="A141" s="428">
        <v>1</v>
      </c>
      <c r="B141" s="429" t="s">
        <v>132</v>
      </c>
      <c r="C141" s="404">
        <f>D141+K141+L141</f>
        <v>1838955</v>
      </c>
      <c r="D141" s="404">
        <f>E141+F141+G141+H141+I141+J141</f>
        <v>121865</v>
      </c>
      <c r="E141" s="406">
        <v>120365</v>
      </c>
      <c r="F141" s="406"/>
      <c r="G141" s="406"/>
      <c r="H141" s="406"/>
      <c r="I141" s="406">
        <v>1500</v>
      </c>
      <c r="J141" s="406"/>
      <c r="K141" s="406">
        <v>1717090</v>
      </c>
      <c r="L141" s="406"/>
      <c r="M141" s="406" t="e">
        <f>'03'!#REF!+'04'!#REF!</f>
        <v>#REF!</v>
      </c>
      <c r="N141" s="406" t="e">
        <f aca="true" t="shared" si="32" ref="N141:N155">C141-M141</f>
        <v>#REF!</v>
      </c>
      <c r="O141" s="406" t="e">
        <f>'07'!#REF!</f>
        <v>#REF!</v>
      </c>
      <c r="P141" s="406" t="e">
        <f aca="true" t="shared" si="33" ref="P141:P155">C141-O141</f>
        <v>#REF!</v>
      </c>
    </row>
    <row r="142" spans="1:16" ht="24.75" customHeight="1" hidden="1">
      <c r="A142" s="428">
        <v>2</v>
      </c>
      <c r="B142" s="429" t="s">
        <v>133</v>
      </c>
      <c r="C142" s="404">
        <f>D142+K142+L142</f>
        <v>1945289</v>
      </c>
      <c r="D142" s="404">
        <f>E142+F142+G142+H142+I142+J142</f>
        <v>32468</v>
      </c>
      <c r="E142" s="406">
        <v>32065</v>
      </c>
      <c r="F142" s="406"/>
      <c r="G142" s="406"/>
      <c r="H142" s="406"/>
      <c r="I142" s="406">
        <v>403</v>
      </c>
      <c r="J142" s="406"/>
      <c r="K142" s="406">
        <v>1702004</v>
      </c>
      <c r="L142" s="406">
        <v>210817</v>
      </c>
      <c r="M142" s="406" t="e">
        <f>'03'!#REF!+'04'!#REF!</f>
        <v>#REF!</v>
      </c>
      <c r="N142" s="406" t="e">
        <f t="shared" si="32"/>
        <v>#REF!</v>
      </c>
      <c r="O142" s="406" t="e">
        <f>'07'!#REF!</f>
        <v>#REF!</v>
      </c>
      <c r="P142" s="406" t="e">
        <f t="shared" si="33"/>
        <v>#REF!</v>
      </c>
    </row>
    <row r="143" spans="1:16" ht="24.75" customHeight="1" hidden="1">
      <c r="A143" s="394" t="s">
        <v>1</v>
      </c>
      <c r="B143" s="395" t="s">
        <v>134</v>
      </c>
      <c r="C143" s="404">
        <f>D143+K143+L143</f>
        <v>400</v>
      </c>
      <c r="D143" s="404">
        <f>E143+F143+G143+H143+I143+J143</f>
        <v>400</v>
      </c>
      <c r="E143" s="406">
        <v>400</v>
      </c>
      <c r="F143" s="406"/>
      <c r="G143" s="406"/>
      <c r="H143" s="406"/>
      <c r="I143" s="406"/>
      <c r="J143" s="406"/>
      <c r="K143" s="406"/>
      <c r="L143" s="406"/>
      <c r="M143" s="406" t="e">
        <f>'03'!#REF!+'04'!#REF!</f>
        <v>#REF!</v>
      </c>
      <c r="N143" s="406" t="e">
        <f t="shared" si="32"/>
        <v>#REF!</v>
      </c>
      <c r="O143" s="406" t="e">
        <f>'07'!#REF!</f>
        <v>#REF!</v>
      </c>
      <c r="P143" s="406" t="e">
        <f t="shared" si="33"/>
        <v>#REF!</v>
      </c>
    </row>
    <row r="144" spans="1:16" ht="24.75" customHeight="1" hidden="1">
      <c r="A144" s="394" t="s">
        <v>9</v>
      </c>
      <c r="B144" s="395" t="s">
        <v>135</v>
      </c>
      <c r="C144" s="404">
        <f>D144+K144+L144</f>
        <v>0</v>
      </c>
      <c r="D144" s="404">
        <f>E144+F144+G144+H144+I144+J144</f>
        <v>0</v>
      </c>
      <c r="E144" s="406"/>
      <c r="F144" s="406"/>
      <c r="G144" s="406"/>
      <c r="H144" s="406"/>
      <c r="I144" s="406"/>
      <c r="J144" s="406"/>
      <c r="K144" s="406"/>
      <c r="L144" s="406"/>
      <c r="M144" s="406" t="e">
        <f>'03'!#REF!+'04'!#REF!</f>
        <v>#REF!</v>
      </c>
      <c r="N144" s="406" t="e">
        <f t="shared" si="32"/>
        <v>#REF!</v>
      </c>
      <c r="O144" s="406" t="e">
        <f>'07'!#REF!</f>
        <v>#REF!</v>
      </c>
      <c r="P144" s="406" t="e">
        <f t="shared" si="33"/>
        <v>#REF!</v>
      </c>
    </row>
    <row r="145" spans="1:16" ht="24.75" customHeight="1" hidden="1">
      <c r="A145" s="394" t="s">
        <v>136</v>
      </c>
      <c r="B145" s="395" t="s">
        <v>137</v>
      </c>
      <c r="C145" s="404">
        <f>C146+C155</f>
        <v>3783844</v>
      </c>
      <c r="D145" s="404">
        <f aca="true" t="shared" si="34" ref="D145:L145">D146+D155</f>
        <v>153933</v>
      </c>
      <c r="E145" s="404">
        <f t="shared" si="34"/>
        <v>152030</v>
      </c>
      <c r="F145" s="404">
        <f t="shared" si="34"/>
        <v>0</v>
      </c>
      <c r="G145" s="404">
        <f t="shared" si="34"/>
        <v>0</v>
      </c>
      <c r="H145" s="404">
        <f t="shared" si="34"/>
        <v>0</v>
      </c>
      <c r="I145" s="404">
        <f t="shared" si="34"/>
        <v>1903</v>
      </c>
      <c r="J145" s="404">
        <f t="shared" si="34"/>
        <v>0</v>
      </c>
      <c r="K145" s="404">
        <f t="shared" si="34"/>
        <v>3419094</v>
      </c>
      <c r="L145" s="404">
        <f t="shared" si="34"/>
        <v>210817</v>
      </c>
      <c r="M145" s="404" t="e">
        <f>'03'!#REF!+'04'!#REF!</f>
        <v>#REF!</v>
      </c>
      <c r="N145" s="404" t="e">
        <f t="shared" si="32"/>
        <v>#REF!</v>
      </c>
      <c r="O145" s="404" t="e">
        <f>'07'!#REF!</f>
        <v>#REF!</v>
      </c>
      <c r="P145" s="404" t="e">
        <f t="shared" si="33"/>
        <v>#REF!</v>
      </c>
    </row>
    <row r="146" spans="1:16" ht="24.75" customHeight="1" hidden="1">
      <c r="A146" s="394" t="s">
        <v>52</v>
      </c>
      <c r="B146" s="430" t="s">
        <v>138</v>
      </c>
      <c r="C146" s="404">
        <f>SUM(C147:C154)</f>
        <v>3570996</v>
      </c>
      <c r="D146" s="404">
        <f aca="true" t="shared" si="35" ref="D146:L146">SUM(D147:D154)</f>
        <v>28994</v>
      </c>
      <c r="E146" s="404">
        <f t="shared" si="35"/>
        <v>28591</v>
      </c>
      <c r="F146" s="404">
        <f t="shared" si="35"/>
        <v>0</v>
      </c>
      <c r="G146" s="404">
        <f t="shared" si="35"/>
        <v>0</v>
      </c>
      <c r="H146" s="404">
        <f t="shared" si="35"/>
        <v>0</v>
      </c>
      <c r="I146" s="404">
        <f t="shared" si="35"/>
        <v>403</v>
      </c>
      <c r="J146" s="404">
        <f t="shared" si="35"/>
        <v>0</v>
      </c>
      <c r="K146" s="404">
        <f t="shared" si="35"/>
        <v>3331185</v>
      </c>
      <c r="L146" s="404">
        <f t="shared" si="35"/>
        <v>210817</v>
      </c>
      <c r="M146" s="404" t="e">
        <f>'03'!#REF!+'04'!#REF!</f>
        <v>#REF!</v>
      </c>
      <c r="N146" s="404" t="e">
        <f t="shared" si="32"/>
        <v>#REF!</v>
      </c>
      <c r="O146" s="404" t="e">
        <f>'07'!#REF!</f>
        <v>#REF!</v>
      </c>
      <c r="P146" s="404" t="e">
        <f t="shared" si="33"/>
        <v>#REF!</v>
      </c>
    </row>
    <row r="147" spans="1:16" ht="24.75" customHeight="1" hidden="1">
      <c r="A147" s="428" t="s">
        <v>54</v>
      </c>
      <c r="B147" s="429" t="s">
        <v>139</v>
      </c>
      <c r="C147" s="404">
        <f aca="true" t="shared" si="36" ref="C147:C155">D147+K147+L147</f>
        <v>151549</v>
      </c>
      <c r="D147" s="404">
        <f aca="true" t="shared" si="37" ref="D147:D155">E147+F147+G147+H147+I147+J147</f>
        <v>12849</v>
      </c>
      <c r="E147" s="406">
        <v>12446</v>
      </c>
      <c r="F147" s="406"/>
      <c r="G147" s="406"/>
      <c r="H147" s="406"/>
      <c r="I147" s="406">
        <v>403</v>
      </c>
      <c r="J147" s="406"/>
      <c r="K147" s="406">
        <v>35200</v>
      </c>
      <c r="L147" s="406">
        <v>103500</v>
      </c>
      <c r="M147" s="406" t="e">
        <f>'03'!#REF!+'04'!#REF!</f>
        <v>#REF!</v>
      </c>
      <c r="N147" s="406" t="e">
        <f t="shared" si="32"/>
        <v>#REF!</v>
      </c>
      <c r="O147" s="406" t="e">
        <f>'07'!#REF!</f>
        <v>#REF!</v>
      </c>
      <c r="P147" s="406" t="e">
        <f t="shared" si="33"/>
        <v>#REF!</v>
      </c>
    </row>
    <row r="148" spans="1:16" ht="24.75" customHeight="1" hidden="1">
      <c r="A148" s="428" t="s">
        <v>55</v>
      </c>
      <c r="B148" s="429" t="s">
        <v>140</v>
      </c>
      <c r="C148" s="404">
        <f t="shared" si="36"/>
        <v>0</v>
      </c>
      <c r="D148" s="404">
        <f t="shared" si="37"/>
        <v>0</v>
      </c>
      <c r="E148" s="406"/>
      <c r="F148" s="406"/>
      <c r="G148" s="406"/>
      <c r="H148" s="406"/>
      <c r="I148" s="406"/>
      <c r="J148" s="406"/>
      <c r="K148" s="406"/>
      <c r="L148" s="406"/>
      <c r="M148" s="406" t="e">
        <f>'03'!#REF!+'04'!#REF!</f>
        <v>#REF!</v>
      </c>
      <c r="N148" s="406" t="e">
        <f t="shared" si="32"/>
        <v>#REF!</v>
      </c>
      <c r="O148" s="406" t="e">
        <f>'07'!#REF!</f>
        <v>#REF!</v>
      </c>
      <c r="P148" s="406" t="e">
        <f t="shared" si="33"/>
        <v>#REF!</v>
      </c>
    </row>
    <row r="149" spans="1:16" ht="24.75" customHeight="1" hidden="1">
      <c r="A149" s="428" t="s">
        <v>141</v>
      </c>
      <c r="B149" s="429" t="s">
        <v>202</v>
      </c>
      <c r="C149" s="404">
        <f t="shared" si="36"/>
        <v>0</v>
      </c>
      <c r="D149" s="404">
        <f t="shared" si="37"/>
        <v>0</v>
      </c>
      <c r="E149" s="406"/>
      <c r="F149" s="406"/>
      <c r="G149" s="406"/>
      <c r="H149" s="406"/>
      <c r="I149" s="406"/>
      <c r="J149" s="406"/>
      <c r="K149" s="406"/>
      <c r="L149" s="406"/>
      <c r="M149" s="406" t="e">
        <f>'03'!#REF!</f>
        <v>#REF!</v>
      </c>
      <c r="N149" s="406" t="e">
        <f t="shared" si="32"/>
        <v>#REF!</v>
      </c>
      <c r="O149" s="406" t="e">
        <f>'07'!#REF!</f>
        <v>#REF!</v>
      </c>
      <c r="P149" s="406" t="e">
        <f t="shared" si="33"/>
        <v>#REF!</v>
      </c>
    </row>
    <row r="150" spans="1:16" ht="24.75" customHeight="1" hidden="1">
      <c r="A150" s="428" t="s">
        <v>143</v>
      </c>
      <c r="B150" s="429" t="s">
        <v>142</v>
      </c>
      <c r="C150" s="404">
        <f t="shared" si="36"/>
        <v>3068593</v>
      </c>
      <c r="D150" s="404">
        <f t="shared" si="37"/>
        <v>0</v>
      </c>
      <c r="E150" s="406"/>
      <c r="F150" s="406"/>
      <c r="G150" s="406"/>
      <c r="H150" s="406"/>
      <c r="I150" s="406"/>
      <c r="J150" s="406"/>
      <c r="K150" s="406">
        <v>3068593</v>
      </c>
      <c r="L150" s="406"/>
      <c r="M150" s="406" t="e">
        <f>'03'!#REF!+'04'!#REF!</f>
        <v>#REF!</v>
      </c>
      <c r="N150" s="406" t="e">
        <f t="shared" si="32"/>
        <v>#REF!</v>
      </c>
      <c r="O150" s="406" t="e">
        <f>'07'!#REF!</f>
        <v>#REF!</v>
      </c>
      <c r="P150" s="406" t="e">
        <f t="shared" si="33"/>
        <v>#REF!</v>
      </c>
    </row>
    <row r="151" spans="1:16" ht="24.75" customHeight="1" hidden="1">
      <c r="A151" s="428" t="s">
        <v>145</v>
      </c>
      <c r="B151" s="429" t="s">
        <v>144</v>
      </c>
      <c r="C151" s="404">
        <f t="shared" si="36"/>
        <v>198092</v>
      </c>
      <c r="D151" s="404">
        <f t="shared" si="37"/>
        <v>0</v>
      </c>
      <c r="E151" s="406"/>
      <c r="F151" s="406"/>
      <c r="G151" s="406"/>
      <c r="H151" s="406"/>
      <c r="I151" s="406"/>
      <c r="J151" s="406"/>
      <c r="K151" s="406">
        <v>198092</v>
      </c>
      <c r="L151" s="406"/>
      <c r="M151" s="406" t="e">
        <f>'03'!#REF!+'04'!#REF!</f>
        <v>#REF!</v>
      </c>
      <c r="N151" s="406" t="e">
        <f t="shared" si="32"/>
        <v>#REF!</v>
      </c>
      <c r="O151" s="406" t="e">
        <f>'07'!#REF!</f>
        <v>#REF!</v>
      </c>
      <c r="P151" s="406" t="e">
        <f t="shared" si="33"/>
        <v>#REF!</v>
      </c>
    </row>
    <row r="152" spans="1:16" ht="24.75" customHeight="1" hidden="1">
      <c r="A152" s="428" t="s">
        <v>147</v>
      </c>
      <c r="B152" s="429" t="s">
        <v>146</v>
      </c>
      <c r="C152" s="404">
        <f t="shared" si="36"/>
        <v>0</v>
      </c>
      <c r="D152" s="404">
        <f t="shared" si="37"/>
        <v>0</v>
      </c>
      <c r="E152" s="406"/>
      <c r="F152" s="406"/>
      <c r="G152" s="406"/>
      <c r="H152" s="406"/>
      <c r="I152" s="406"/>
      <c r="J152" s="406"/>
      <c r="K152" s="406"/>
      <c r="L152" s="406"/>
      <c r="M152" s="406" t="e">
        <f>'03'!#REF!+'04'!#REF!</f>
        <v>#REF!</v>
      </c>
      <c r="N152" s="406" t="e">
        <f t="shared" si="32"/>
        <v>#REF!</v>
      </c>
      <c r="O152" s="406" t="e">
        <f>'07'!#REF!</f>
        <v>#REF!</v>
      </c>
      <c r="P152" s="406" t="e">
        <f t="shared" si="33"/>
        <v>#REF!</v>
      </c>
    </row>
    <row r="153" spans="1:16" ht="24.75" customHeight="1" hidden="1">
      <c r="A153" s="428" t="s">
        <v>149</v>
      </c>
      <c r="B153" s="431" t="s">
        <v>148</v>
      </c>
      <c r="C153" s="404">
        <f t="shared" si="36"/>
        <v>0</v>
      </c>
      <c r="D153" s="404">
        <f t="shared" si="37"/>
        <v>0</v>
      </c>
      <c r="E153" s="406"/>
      <c r="F153" s="406"/>
      <c r="G153" s="406"/>
      <c r="H153" s="406"/>
      <c r="I153" s="406"/>
      <c r="J153" s="406"/>
      <c r="K153" s="406"/>
      <c r="L153" s="406"/>
      <c r="M153" s="406" t="e">
        <f>'03'!#REF!+'04'!#REF!</f>
        <v>#REF!</v>
      </c>
      <c r="N153" s="406" t="e">
        <f t="shared" si="32"/>
        <v>#REF!</v>
      </c>
      <c r="O153" s="406" t="e">
        <f>'07'!#REF!</f>
        <v>#REF!</v>
      </c>
      <c r="P153" s="406" t="e">
        <f t="shared" si="33"/>
        <v>#REF!</v>
      </c>
    </row>
    <row r="154" spans="1:16" ht="24.75" customHeight="1" hidden="1">
      <c r="A154" s="428" t="s">
        <v>186</v>
      </c>
      <c r="B154" s="429" t="s">
        <v>150</v>
      </c>
      <c r="C154" s="404">
        <f t="shared" si="36"/>
        <v>152762</v>
      </c>
      <c r="D154" s="404">
        <f t="shared" si="37"/>
        <v>16145</v>
      </c>
      <c r="E154" s="406">
        <v>16145</v>
      </c>
      <c r="F154" s="406"/>
      <c r="G154" s="406"/>
      <c r="H154" s="406"/>
      <c r="I154" s="406"/>
      <c r="J154" s="406"/>
      <c r="K154" s="406">
        <v>29300</v>
      </c>
      <c r="L154" s="406">
        <v>107317</v>
      </c>
      <c r="M154" s="406" t="e">
        <f>'03'!#REF!+'04'!#REF!</f>
        <v>#REF!</v>
      </c>
      <c r="N154" s="406" t="e">
        <f t="shared" si="32"/>
        <v>#REF!</v>
      </c>
      <c r="O154" s="406" t="e">
        <f>'07'!#REF!</f>
        <v>#REF!</v>
      </c>
      <c r="P154" s="406" t="e">
        <f t="shared" si="33"/>
        <v>#REF!</v>
      </c>
    </row>
    <row r="155" spans="1:16" ht="24.75" customHeight="1" hidden="1">
      <c r="A155" s="394" t="s">
        <v>53</v>
      </c>
      <c r="B155" s="395" t="s">
        <v>151</v>
      </c>
      <c r="C155" s="404">
        <f t="shared" si="36"/>
        <v>212848</v>
      </c>
      <c r="D155" s="404">
        <f t="shared" si="37"/>
        <v>124939</v>
      </c>
      <c r="E155" s="406">
        <v>123439</v>
      </c>
      <c r="F155" s="406"/>
      <c r="G155" s="406"/>
      <c r="H155" s="406"/>
      <c r="I155" s="406">
        <v>1500</v>
      </c>
      <c r="J155" s="406"/>
      <c r="K155" s="406">
        <v>87909</v>
      </c>
      <c r="L155" s="406"/>
      <c r="M155" s="404" t="e">
        <f>'03'!#REF!+'04'!#REF!</f>
        <v>#REF!</v>
      </c>
      <c r="N155" s="404" t="e">
        <f t="shared" si="32"/>
        <v>#REF!</v>
      </c>
      <c r="O155" s="404" t="e">
        <f>'07'!#REF!</f>
        <v>#REF!</v>
      </c>
      <c r="P155" s="404" t="e">
        <f t="shared" si="33"/>
        <v>#REF!</v>
      </c>
    </row>
    <row r="156" spans="1:16" ht="24.75" customHeight="1" hidden="1">
      <c r="A156" s="452" t="s">
        <v>76</v>
      </c>
      <c r="B156" s="477" t="s">
        <v>215</v>
      </c>
      <c r="C156" s="461">
        <f>(C147+C148+C149)/C146</f>
        <v>0.04243886019474679</v>
      </c>
      <c r="D156" s="396">
        <f aca="true" t="shared" si="38" ref="D156:L156">(D147+D148+D149)/D146</f>
        <v>0.443160653928399</v>
      </c>
      <c r="E156" s="412">
        <f t="shared" si="38"/>
        <v>0.43531181140918473</v>
      </c>
      <c r="F156" s="412" t="e">
        <f t="shared" si="38"/>
        <v>#DIV/0!</v>
      </c>
      <c r="G156" s="412" t="e">
        <f t="shared" si="38"/>
        <v>#DIV/0!</v>
      </c>
      <c r="H156" s="412" t="e">
        <f t="shared" si="38"/>
        <v>#DIV/0!</v>
      </c>
      <c r="I156" s="412">
        <f t="shared" si="38"/>
        <v>1</v>
      </c>
      <c r="J156" s="412" t="e">
        <f t="shared" si="38"/>
        <v>#DIV/0!</v>
      </c>
      <c r="K156" s="412">
        <f t="shared" si="38"/>
        <v>0.010566810309244308</v>
      </c>
      <c r="L156" s="412">
        <f t="shared" si="38"/>
        <v>0.4909471247574911</v>
      </c>
      <c r="M156" s="422"/>
      <c r="N156" s="478"/>
      <c r="O156" s="478"/>
      <c r="P156" s="478"/>
    </row>
    <row r="157" spans="1:16" ht="17.25" hidden="1">
      <c r="A157" s="1548" t="s">
        <v>498</v>
      </c>
      <c r="B157" s="1548"/>
      <c r="C157" s="406">
        <f>C140-C143-C144-C145</f>
        <v>0</v>
      </c>
      <c r="D157" s="406">
        <f aca="true" t="shared" si="39" ref="D157:L157">D140-D143-D144-D145</f>
        <v>0</v>
      </c>
      <c r="E157" s="406">
        <f t="shared" si="39"/>
        <v>0</v>
      </c>
      <c r="F157" s="406">
        <f t="shared" si="39"/>
        <v>0</v>
      </c>
      <c r="G157" s="406">
        <f t="shared" si="39"/>
        <v>0</v>
      </c>
      <c r="H157" s="406">
        <f t="shared" si="39"/>
        <v>0</v>
      </c>
      <c r="I157" s="406">
        <f t="shared" si="39"/>
        <v>0</v>
      </c>
      <c r="J157" s="406">
        <f t="shared" si="39"/>
        <v>0</v>
      </c>
      <c r="K157" s="406">
        <f t="shared" si="39"/>
        <v>0</v>
      </c>
      <c r="L157" s="406">
        <f t="shared" si="39"/>
        <v>0</v>
      </c>
      <c r="M157" s="422"/>
      <c r="N157" s="478"/>
      <c r="O157" s="478"/>
      <c r="P157" s="478"/>
    </row>
    <row r="158" spans="1:16" ht="17.25" hidden="1">
      <c r="A158" s="1549" t="s">
        <v>499</v>
      </c>
      <c r="B158" s="1549"/>
      <c r="C158" s="406">
        <f>C145-C146-C155</f>
        <v>0</v>
      </c>
      <c r="D158" s="406">
        <f aca="true" t="shared" si="40" ref="D158:L158">D145-D146-D155</f>
        <v>0</v>
      </c>
      <c r="E158" s="406">
        <f t="shared" si="40"/>
        <v>0</v>
      </c>
      <c r="F158" s="406">
        <f t="shared" si="40"/>
        <v>0</v>
      </c>
      <c r="G158" s="406">
        <f t="shared" si="40"/>
        <v>0</v>
      </c>
      <c r="H158" s="406">
        <f t="shared" si="40"/>
        <v>0</v>
      </c>
      <c r="I158" s="406">
        <f t="shared" si="40"/>
        <v>0</v>
      </c>
      <c r="J158" s="406">
        <f t="shared" si="40"/>
        <v>0</v>
      </c>
      <c r="K158" s="406">
        <f t="shared" si="40"/>
        <v>0</v>
      </c>
      <c r="L158" s="406">
        <f t="shared" si="40"/>
        <v>0</v>
      </c>
      <c r="M158" s="422"/>
      <c r="N158" s="478"/>
      <c r="O158" s="478"/>
      <c r="P158" s="478"/>
    </row>
    <row r="159" spans="1:16" ht="18.75" hidden="1">
      <c r="A159" s="463"/>
      <c r="B159" s="479" t="s">
        <v>518</v>
      </c>
      <c r="C159" s="479"/>
      <c r="D159" s="453"/>
      <c r="E159" s="453"/>
      <c r="F159" s="453"/>
      <c r="G159" s="1575" t="s">
        <v>518</v>
      </c>
      <c r="H159" s="1575"/>
      <c r="I159" s="1575"/>
      <c r="J159" s="1575"/>
      <c r="K159" s="1575"/>
      <c r="L159" s="1575"/>
      <c r="M159" s="466"/>
      <c r="N159" s="466"/>
      <c r="O159" s="466"/>
      <c r="P159" s="466"/>
    </row>
    <row r="160" spans="1:16" ht="18.75" hidden="1">
      <c r="A160" s="1576" t="s">
        <v>4</v>
      </c>
      <c r="B160" s="1576"/>
      <c r="C160" s="1576"/>
      <c r="D160" s="1576"/>
      <c r="E160" s="453"/>
      <c r="F160" s="453"/>
      <c r="G160" s="480"/>
      <c r="H160" s="1577" t="s">
        <v>519</v>
      </c>
      <c r="I160" s="1577"/>
      <c r="J160" s="1577"/>
      <c r="K160" s="1577"/>
      <c r="L160" s="1577"/>
      <c r="M160" s="466"/>
      <c r="N160" s="466"/>
      <c r="O160" s="466"/>
      <c r="P160" s="466"/>
    </row>
    <row r="161" ht="15" hidden="1"/>
    <row r="162" ht="15" hidden="1"/>
    <row r="163" ht="15" hidden="1"/>
    <row r="164" ht="15" hidden="1"/>
    <row r="165" ht="15" hidden="1"/>
    <row r="166" ht="15" hidden="1"/>
    <row r="167" ht="15" hidden="1"/>
    <row r="168" ht="15" hidden="1"/>
    <row r="169" ht="15" hidden="1"/>
    <row r="170" ht="15" hidden="1"/>
    <row r="171" spans="1:13" ht="16.5" hidden="1">
      <c r="A171" s="1560" t="s">
        <v>33</v>
      </c>
      <c r="B171" s="1561"/>
      <c r="C171" s="462"/>
      <c r="D171" s="1537" t="s">
        <v>79</v>
      </c>
      <c r="E171" s="1537"/>
      <c r="F171" s="1537"/>
      <c r="G171" s="1537"/>
      <c r="H171" s="1537"/>
      <c r="I171" s="1537"/>
      <c r="J171" s="1537"/>
      <c r="K171" s="1562"/>
      <c r="L171" s="1562"/>
      <c r="M171" s="466"/>
    </row>
    <row r="172" spans="1:13" ht="16.5" hidden="1">
      <c r="A172" s="1526" t="s">
        <v>342</v>
      </c>
      <c r="B172" s="1526"/>
      <c r="C172" s="1526"/>
      <c r="D172" s="1537" t="s">
        <v>216</v>
      </c>
      <c r="E172" s="1537"/>
      <c r="F172" s="1537"/>
      <c r="G172" s="1537"/>
      <c r="H172" s="1537"/>
      <c r="I172" s="1537"/>
      <c r="J172" s="1537"/>
      <c r="K172" s="1574" t="s">
        <v>508</v>
      </c>
      <c r="L172" s="1574"/>
      <c r="M172" s="463"/>
    </row>
    <row r="173" spans="1:13" ht="16.5" hidden="1">
      <c r="A173" s="1526" t="s">
        <v>343</v>
      </c>
      <c r="B173" s="1526"/>
      <c r="C173" s="413"/>
      <c r="D173" s="1541" t="s">
        <v>11</v>
      </c>
      <c r="E173" s="1541"/>
      <c r="F173" s="1541"/>
      <c r="G173" s="1541"/>
      <c r="H173" s="1541"/>
      <c r="I173" s="1541"/>
      <c r="J173" s="1541"/>
      <c r="K173" s="1562"/>
      <c r="L173" s="1562"/>
      <c r="M173" s="466"/>
    </row>
    <row r="174" spans="1:13" ht="15.75" hidden="1">
      <c r="A174" s="432" t="s">
        <v>119</v>
      </c>
      <c r="B174" s="432"/>
      <c r="C174" s="418"/>
      <c r="D174" s="406"/>
      <c r="E174" s="406">
        <v>885923</v>
      </c>
      <c r="F174" s="406"/>
      <c r="G174" s="406">
        <v>131438</v>
      </c>
      <c r="H174" s="406"/>
      <c r="I174" s="406">
        <v>900603</v>
      </c>
      <c r="J174" s="406"/>
      <c r="K174" s="406">
        <v>4102035.7</v>
      </c>
      <c r="L174" s="406"/>
      <c r="M174" s="463"/>
    </row>
    <row r="175" spans="1:13" ht="15.75" hidden="1">
      <c r="A175" s="467"/>
      <c r="B175" s="467" t="s">
        <v>94</v>
      </c>
      <c r="C175" s="467"/>
      <c r="D175" s="467"/>
      <c r="E175" s="467"/>
      <c r="F175" s="467"/>
      <c r="G175" s="467"/>
      <c r="H175" s="467"/>
      <c r="I175" s="467"/>
      <c r="J175" s="467"/>
      <c r="K175" s="1563"/>
      <c r="L175" s="1563"/>
      <c r="M175" s="463"/>
    </row>
    <row r="176" spans="1:13" ht="15.75" hidden="1">
      <c r="A176" s="1256" t="s">
        <v>71</v>
      </c>
      <c r="B176" s="1257"/>
      <c r="C176" s="1542" t="s">
        <v>38</v>
      </c>
      <c r="D176" s="1564" t="s">
        <v>339</v>
      </c>
      <c r="E176" s="1564"/>
      <c r="F176" s="1564"/>
      <c r="G176" s="1564"/>
      <c r="H176" s="1564"/>
      <c r="I176" s="1564"/>
      <c r="J176" s="1564"/>
      <c r="K176" s="1564"/>
      <c r="L176" s="1564"/>
      <c r="M176" s="466"/>
    </row>
    <row r="177" spans="1:13" ht="15.75" hidden="1">
      <c r="A177" s="1258"/>
      <c r="B177" s="1259"/>
      <c r="C177" s="1542"/>
      <c r="D177" s="1579" t="s">
        <v>207</v>
      </c>
      <c r="E177" s="1580"/>
      <c r="F177" s="1580"/>
      <c r="G177" s="1580"/>
      <c r="H177" s="1580"/>
      <c r="I177" s="1580"/>
      <c r="J177" s="1581"/>
      <c r="K177" s="1582" t="s">
        <v>208</v>
      </c>
      <c r="L177" s="1582" t="s">
        <v>209</v>
      </c>
      <c r="M177" s="463"/>
    </row>
    <row r="178" spans="1:13" ht="15.75" hidden="1">
      <c r="A178" s="1258"/>
      <c r="B178" s="1259"/>
      <c r="C178" s="1542"/>
      <c r="D178" s="1587" t="s">
        <v>37</v>
      </c>
      <c r="E178" s="1588" t="s">
        <v>7</v>
      </c>
      <c r="F178" s="1589"/>
      <c r="G178" s="1589"/>
      <c r="H178" s="1589"/>
      <c r="I178" s="1589"/>
      <c r="J178" s="1590"/>
      <c r="K178" s="1583"/>
      <c r="L178" s="1585"/>
      <c r="M178" s="463"/>
    </row>
    <row r="179" spans="1:16" ht="15.75" hidden="1">
      <c r="A179" s="1546"/>
      <c r="B179" s="1547"/>
      <c r="C179" s="1542"/>
      <c r="D179" s="1587"/>
      <c r="E179" s="469" t="s">
        <v>210</v>
      </c>
      <c r="F179" s="469" t="s">
        <v>211</v>
      </c>
      <c r="G179" s="469" t="s">
        <v>212</v>
      </c>
      <c r="H179" s="469" t="s">
        <v>213</v>
      </c>
      <c r="I179" s="469" t="s">
        <v>344</v>
      </c>
      <c r="J179" s="469" t="s">
        <v>214</v>
      </c>
      <c r="K179" s="1584"/>
      <c r="L179" s="1586"/>
      <c r="M179" s="1540" t="s">
        <v>500</v>
      </c>
      <c r="N179" s="1540"/>
      <c r="O179" s="1540"/>
      <c r="P179" s="1540"/>
    </row>
    <row r="180" spans="1:16" ht="15" hidden="1">
      <c r="A180" s="1544" t="s">
        <v>6</v>
      </c>
      <c r="B180" s="1545"/>
      <c r="C180" s="470">
        <v>1</v>
      </c>
      <c r="D180" s="471">
        <v>2</v>
      </c>
      <c r="E180" s="470">
        <v>3</v>
      </c>
      <c r="F180" s="471">
        <v>4</v>
      </c>
      <c r="G180" s="470">
        <v>5</v>
      </c>
      <c r="H180" s="471">
        <v>6</v>
      </c>
      <c r="I180" s="470">
        <v>7</v>
      </c>
      <c r="J180" s="471">
        <v>8</v>
      </c>
      <c r="K180" s="470">
        <v>9</v>
      </c>
      <c r="L180" s="471">
        <v>10</v>
      </c>
      <c r="M180" s="472" t="s">
        <v>501</v>
      </c>
      <c r="N180" s="473" t="s">
        <v>504</v>
      </c>
      <c r="O180" s="473" t="s">
        <v>502</v>
      </c>
      <c r="P180" s="473" t="s">
        <v>503</v>
      </c>
    </row>
    <row r="181" spans="1:16" ht="24.75" customHeight="1" hidden="1">
      <c r="A181" s="425" t="s">
        <v>0</v>
      </c>
      <c r="B181" s="426" t="s">
        <v>131</v>
      </c>
      <c r="C181" s="404">
        <f>C182+C183</f>
        <v>18825447</v>
      </c>
      <c r="D181" s="404">
        <f aca="true" t="shared" si="41" ref="D181:L181">D182+D183</f>
        <v>2403583</v>
      </c>
      <c r="E181" s="404">
        <f t="shared" si="41"/>
        <v>1170412</v>
      </c>
      <c r="F181" s="404">
        <f t="shared" si="41"/>
        <v>0</v>
      </c>
      <c r="G181" s="404">
        <f t="shared" si="41"/>
        <v>131438</v>
      </c>
      <c r="H181" s="404">
        <f t="shared" si="41"/>
        <v>651569</v>
      </c>
      <c r="I181" s="404">
        <f t="shared" si="41"/>
        <v>276284</v>
      </c>
      <c r="J181" s="404">
        <f t="shared" si="41"/>
        <v>173880</v>
      </c>
      <c r="K181" s="404">
        <f t="shared" si="41"/>
        <v>2849581</v>
      </c>
      <c r="L181" s="404">
        <f t="shared" si="41"/>
        <v>13572283</v>
      </c>
      <c r="M181" s="404" t="e">
        <f>'03'!#REF!+'04'!#REF!</f>
        <v>#REF!</v>
      </c>
      <c r="N181" s="404" t="e">
        <f>C181-M181</f>
        <v>#REF!</v>
      </c>
      <c r="O181" s="404" t="e">
        <f>'07'!#REF!</f>
        <v>#REF!</v>
      </c>
      <c r="P181" s="404" t="e">
        <f>C181-O181</f>
        <v>#REF!</v>
      </c>
    </row>
    <row r="182" spans="1:16" ht="24.75" customHeight="1" hidden="1">
      <c r="A182" s="428">
        <v>1</v>
      </c>
      <c r="B182" s="429" t="s">
        <v>132</v>
      </c>
      <c r="C182" s="404">
        <f>D182+K182+L182</f>
        <v>6020000</v>
      </c>
      <c r="D182" s="404">
        <f>E182+F182+G182+H182+I182+J182</f>
        <v>1917964</v>
      </c>
      <c r="E182" s="406">
        <v>885923</v>
      </c>
      <c r="F182" s="406">
        <v>0</v>
      </c>
      <c r="G182" s="406">
        <v>131438</v>
      </c>
      <c r="H182" s="406">
        <v>649319</v>
      </c>
      <c r="I182" s="406">
        <v>251284</v>
      </c>
      <c r="J182" s="406">
        <v>0</v>
      </c>
      <c r="K182" s="406">
        <v>442933</v>
      </c>
      <c r="L182" s="406">
        <v>3659103</v>
      </c>
      <c r="M182" s="406" t="e">
        <f>'03'!#REF!+'04'!#REF!</f>
        <v>#REF!</v>
      </c>
      <c r="N182" s="406" t="e">
        <f aca="true" t="shared" si="42" ref="N182:N196">C182-M182</f>
        <v>#REF!</v>
      </c>
      <c r="O182" s="406" t="e">
        <f>'07'!#REF!</f>
        <v>#REF!</v>
      </c>
      <c r="P182" s="406" t="e">
        <f aca="true" t="shared" si="43" ref="P182:P196">C182-O182</f>
        <v>#REF!</v>
      </c>
    </row>
    <row r="183" spans="1:16" ht="24.75" customHeight="1" hidden="1">
      <c r="A183" s="428">
        <v>2</v>
      </c>
      <c r="B183" s="429" t="s">
        <v>133</v>
      </c>
      <c r="C183" s="404">
        <f>D183+K183+L183</f>
        <v>12805447</v>
      </c>
      <c r="D183" s="404">
        <f>E183+F183+G183+H183+I183+J183</f>
        <v>485619</v>
      </c>
      <c r="E183" s="406">
        <v>284489</v>
      </c>
      <c r="F183" s="406">
        <v>0</v>
      </c>
      <c r="G183" s="406">
        <v>0</v>
      </c>
      <c r="H183" s="406">
        <v>2250</v>
      </c>
      <c r="I183" s="406">
        <v>25000</v>
      </c>
      <c r="J183" s="406">
        <v>173880</v>
      </c>
      <c r="K183" s="406">
        <v>2406648</v>
      </c>
      <c r="L183" s="406">
        <v>9913180</v>
      </c>
      <c r="M183" s="406" t="e">
        <f>'03'!#REF!+'04'!#REF!</f>
        <v>#REF!</v>
      </c>
      <c r="N183" s="406" t="e">
        <f t="shared" si="42"/>
        <v>#REF!</v>
      </c>
      <c r="O183" s="406" t="e">
        <f>'07'!#REF!</f>
        <v>#REF!</v>
      </c>
      <c r="P183" s="406" t="e">
        <f t="shared" si="43"/>
        <v>#REF!</v>
      </c>
    </row>
    <row r="184" spans="1:16" ht="24.75" customHeight="1" hidden="1">
      <c r="A184" s="394" t="s">
        <v>1</v>
      </c>
      <c r="B184" s="395" t="s">
        <v>134</v>
      </c>
      <c r="C184" s="404">
        <f>D184+K184+L184</f>
        <v>111980</v>
      </c>
      <c r="D184" s="404">
        <f>E184+F184+G184+H184+I184+J184</f>
        <v>10580</v>
      </c>
      <c r="E184" s="406">
        <v>10580</v>
      </c>
      <c r="F184" s="406">
        <v>0</v>
      </c>
      <c r="G184" s="406">
        <v>0</v>
      </c>
      <c r="H184" s="406">
        <v>0</v>
      </c>
      <c r="I184" s="406">
        <v>0</v>
      </c>
      <c r="J184" s="406">
        <v>0</v>
      </c>
      <c r="K184" s="406">
        <v>0</v>
      </c>
      <c r="L184" s="406">
        <v>101400</v>
      </c>
      <c r="M184" s="406" t="e">
        <f>'03'!#REF!+'04'!#REF!</f>
        <v>#REF!</v>
      </c>
      <c r="N184" s="406" t="e">
        <f t="shared" si="42"/>
        <v>#REF!</v>
      </c>
      <c r="O184" s="406" t="e">
        <f>'07'!#REF!</f>
        <v>#REF!</v>
      </c>
      <c r="P184" s="406" t="e">
        <f t="shared" si="43"/>
        <v>#REF!</v>
      </c>
    </row>
    <row r="185" spans="1:16" ht="24.75" customHeight="1" hidden="1">
      <c r="A185" s="394" t="s">
        <v>9</v>
      </c>
      <c r="B185" s="395" t="s">
        <v>135</v>
      </c>
      <c r="C185" s="404">
        <f>D185+K185+L185</f>
        <v>0</v>
      </c>
      <c r="D185" s="404">
        <f>E185+F185+G185+H185+I185+J185</f>
        <v>0</v>
      </c>
      <c r="E185" s="406">
        <v>0</v>
      </c>
      <c r="F185" s="406">
        <v>0</v>
      </c>
      <c r="G185" s="406">
        <v>0</v>
      </c>
      <c r="H185" s="406">
        <v>0</v>
      </c>
      <c r="I185" s="406">
        <v>0</v>
      </c>
      <c r="J185" s="406">
        <v>0</v>
      </c>
      <c r="K185" s="406">
        <v>0</v>
      </c>
      <c r="L185" s="406">
        <v>0</v>
      </c>
      <c r="M185" s="406" t="e">
        <f>'03'!#REF!+'04'!#REF!</f>
        <v>#REF!</v>
      </c>
      <c r="N185" s="406" t="e">
        <f t="shared" si="42"/>
        <v>#REF!</v>
      </c>
      <c r="O185" s="406" t="e">
        <f>'07'!#REF!</f>
        <v>#REF!</v>
      </c>
      <c r="P185" s="406" t="e">
        <f t="shared" si="43"/>
        <v>#REF!</v>
      </c>
    </row>
    <row r="186" spans="1:16" ht="24.75" customHeight="1" hidden="1">
      <c r="A186" s="394" t="s">
        <v>136</v>
      </c>
      <c r="B186" s="395" t="s">
        <v>137</v>
      </c>
      <c r="C186" s="404">
        <f>C187+C196</f>
        <v>18713467</v>
      </c>
      <c r="D186" s="404">
        <f aca="true" t="shared" si="44" ref="D186:L186">D187+D196</f>
        <v>2393003</v>
      </c>
      <c r="E186" s="404">
        <f t="shared" si="44"/>
        <v>1159832</v>
      </c>
      <c r="F186" s="404">
        <f t="shared" si="44"/>
        <v>0</v>
      </c>
      <c r="G186" s="404">
        <f t="shared" si="44"/>
        <v>131438</v>
      </c>
      <c r="H186" s="404">
        <f t="shared" si="44"/>
        <v>651569</v>
      </c>
      <c r="I186" s="404">
        <f t="shared" si="44"/>
        <v>276284</v>
      </c>
      <c r="J186" s="404">
        <f t="shared" si="44"/>
        <v>173880</v>
      </c>
      <c r="K186" s="404">
        <f t="shared" si="44"/>
        <v>2849581</v>
      </c>
      <c r="L186" s="404">
        <f t="shared" si="44"/>
        <v>13470883</v>
      </c>
      <c r="M186" s="404" t="e">
        <f>'03'!#REF!+'04'!#REF!</f>
        <v>#REF!</v>
      </c>
      <c r="N186" s="404" t="e">
        <f t="shared" si="42"/>
        <v>#REF!</v>
      </c>
      <c r="O186" s="404" t="e">
        <f>'07'!#REF!</f>
        <v>#REF!</v>
      </c>
      <c r="P186" s="404" t="e">
        <f t="shared" si="43"/>
        <v>#REF!</v>
      </c>
    </row>
    <row r="187" spans="1:16" ht="24.75" customHeight="1" hidden="1">
      <c r="A187" s="394" t="s">
        <v>52</v>
      </c>
      <c r="B187" s="430" t="s">
        <v>138</v>
      </c>
      <c r="C187" s="404">
        <f>SUM(C188:C195)</f>
        <v>16624101</v>
      </c>
      <c r="D187" s="404">
        <f aca="true" t="shared" si="45" ref="D187:L187">SUM(D188:D195)</f>
        <v>670472</v>
      </c>
      <c r="E187" s="404">
        <f t="shared" si="45"/>
        <v>468342</v>
      </c>
      <c r="F187" s="404">
        <f t="shared" si="45"/>
        <v>0</v>
      </c>
      <c r="G187" s="404">
        <f t="shared" si="45"/>
        <v>1000</v>
      </c>
      <c r="H187" s="404">
        <f t="shared" si="45"/>
        <v>2250</v>
      </c>
      <c r="I187" s="404">
        <f t="shared" si="45"/>
        <v>25000</v>
      </c>
      <c r="J187" s="404">
        <f t="shared" si="45"/>
        <v>173880</v>
      </c>
      <c r="K187" s="404">
        <f t="shared" si="45"/>
        <v>2849581</v>
      </c>
      <c r="L187" s="404">
        <f t="shared" si="45"/>
        <v>13104048</v>
      </c>
      <c r="M187" s="404" t="e">
        <f>'03'!#REF!+'04'!#REF!</f>
        <v>#REF!</v>
      </c>
      <c r="N187" s="404" t="e">
        <f t="shared" si="42"/>
        <v>#REF!</v>
      </c>
      <c r="O187" s="404" t="e">
        <f>'07'!#REF!</f>
        <v>#REF!</v>
      </c>
      <c r="P187" s="404" t="e">
        <f t="shared" si="43"/>
        <v>#REF!</v>
      </c>
    </row>
    <row r="188" spans="1:16" ht="24.75" customHeight="1" hidden="1">
      <c r="A188" s="428" t="s">
        <v>54</v>
      </c>
      <c r="B188" s="429" t="s">
        <v>139</v>
      </c>
      <c r="C188" s="404">
        <f aca="true" t="shared" si="46" ref="C188:C196">D188+K188+L188</f>
        <v>2436657</v>
      </c>
      <c r="D188" s="404">
        <f aca="true" t="shared" si="47" ref="D188:D196">E188+F188+G188+H188+I188+J188</f>
        <v>272204</v>
      </c>
      <c r="E188" s="406">
        <v>124700</v>
      </c>
      <c r="F188" s="406">
        <v>0</v>
      </c>
      <c r="G188" s="406">
        <v>1000</v>
      </c>
      <c r="H188" s="406">
        <v>2250</v>
      </c>
      <c r="I188" s="406">
        <v>5000</v>
      </c>
      <c r="J188" s="406">
        <v>139254</v>
      </c>
      <c r="K188" s="406">
        <v>34708</v>
      </c>
      <c r="L188" s="406">
        <v>2129745</v>
      </c>
      <c r="M188" s="406" t="e">
        <f>'03'!#REF!+'04'!#REF!</f>
        <v>#REF!</v>
      </c>
      <c r="N188" s="406" t="e">
        <f t="shared" si="42"/>
        <v>#REF!</v>
      </c>
      <c r="O188" s="406" t="e">
        <f>'07'!#REF!</f>
        <v>#REF!</v>
      </c>
      <c r="P188" s="406" t="e">
        <f t="shared" si="43"/>
        <v>#REF!</v>
      </c>
    </row>
    <row r="189" spans="1:16" ht="24.75" customHeight="1" hidden="1">
      <c r="A189" s="428" t="s">
        <v>55</v>
      </c>
      <c r="B189" s="429" t="s">
        <v>140</v>
      </c>
      <c r="C189" s="404">
        <f t="shared" si="46"/>
        <v>418123</v>
      </c>
      <c r="D189" s="404">
        <f t="shared" si="47"/>
        <v>200</v>
      </c>
      <c r="E189" s="406">
        <v>200</v>
      </c>
      <c r="F189" s="406">
        <v>0</v>
      </c>
      <c r="G189" s="406">
        <v>0</v>
      </c>
      <c r="H189" s="406">
        <v>0</v>
      </c>
      <c r="I189" s="406">
        <v>0</v>
      </c>
      <c r="J189" s="406">
        <v>0</v>
      </c>
      <c r="K189" s="406">
        <v>0</v>
      </c>
      <c r="L189" s="406">
        <v>417923</v>
      </c>
      <c r="M189" s="406" t="e">
        <f>'03'!#REF!+'04'!#REF!</f>
        <v>#REF!</v>
      </c>
      <c r="N189" s="406" t="e">
        <f t="shared" si="42"/>
        <v>#REF!</v>
      </c>
      <c r="O189" s="406" t="e">
        <f>'07'!#REF!</f>
        <v>#REF!</v>
      </c>
      <c r="P189" s="406" t="e">
        <f t="shared" si="43"/>
        <v>#REF!</v>
      </c>
    </row>
    <row r="190" spans="1:16" ht="24.75" customHeight="1" hidden="1">
      <c r="A190" s="428" t="s">
        <v>141</v>
      </c>
      <c r="B190" s="429" t="s">
        <v>202</v>
      </c>
      <c r="C190" s="404">
        <f t="shared" si="46"/>
        <v>0</v>
      </c>
      <c r="D190" s="404">
        <f t="shared" si="47"/>
        <v>0</v>
      </c>
      <c r="E190" s="406">
        <v>0</v>
      </c>
      <c r="F190" s="406">
        <v>0</v>
      </c>
      <c r="G190" s="406">
        <v>0</v>
      </c>
      <c r="H190" s="406">
        <v>0</v>
      </c>
      <c r="I190" s="406">
        <v>0</v>
      </c>
      <c r="J190" s="406">
        <v>0</v>
      </c>
      <c r="K190" s="406">
        <v>0</v>
      </c>
      <c r="L190" s="406">
        <v>0</v>
      </c>
      <c r="M190" s="406" t="e">
        <f>'03'!#REF!</f>
        <v>#REF!</v>
      </c>
      <c r="N190" s="406" t="e">
        <f t="shared" si="42"/>
        <v>#REF!</v>
      </c>
      <c r="O190" s="406" t="e">
        <f>'07'!#REF!</f>
        <v>#REF!</v>
      </c>
      <c r="P190" s="406" t="e">
        <f t="shared" si="43"/>
        <v>#REF!</v>
      </c>
    </row>
    <row r="191" spans="1:16" ht="24.75" customHeight="1" hidden="1">
      <c r="A191" s="428" t="s">
        <v>143</v>
      </c>
      <c r="B191" s="429" t="s">
        <v>142</v>
      </c>
      <c r="C191" s="404">
        <f t="shared" si="46"/>
        <v>13654985</v>
      </c>
      <c r="D191" s="404">
        <f t="shared" si="47"/>
        <v>398068</v>
      </c>
      <c r="E191" s="406">
        <v>343442</v>
      </c>
      <c r="F191" s="406">
        <v>0</v>
      </c>
      <c r="G191" s="406">
        <v>0</v>
      </c>
      <c r="H191" s="406">
        <v>0</v>
      </c>
      <c r="I191" s="406">
        <v>20000</v>
      </c>
      <c r="J191" s="406">
        <v>34626</v>
      </c>
      <c r="K191" s="406">
        <v>2814873</v>
      </c>
      <c r="L191" s="406">
        <v>10442044</v>
      </c>
      <c r="M191" s="406" t="e">
        <f>'03'!#REF!+'04'!#REF!</f>
        <v>#REF!</v>
      </c>
      <c r="N191" s="406" t="e">
        <f t="shared" si="42"/>
        <v>#REF!</v>
      </c>
      <c r="O191" s="406" t="e">
        <f>'07'!#REF!</f>
        <v>#REF!</v>
      </c>
      <c r="P191" s="406" t="e">
        <f t="shared" si="43"/>
        <v>#REF!</v>
      </c>
    </row>
    <row r="192" spans="1:16" ht="24.75" customHeight="1" hidden="1">
      <c r="A192" s="428" t="s">
        <v>145</v>
      </c>
      <c r="B192" s="429" t="s">
        <v>144</v>
      </c>
      <c r="C192" s="404">
        <f t="shared" si="46"/>
        <v>0</v>
      </c>
      <c r="D192" s="404">
        <f t="shared" si="47"/>
        <v>0</v>
      </c>
      <c r="E192" s="406">
        <v>0</v>
      </c>
      <c r="F192" s="406">
        <v>0</v>
      </c>
      <c r="G192" s="406">
        <v>0</v>
      </c>
      <c r="H192" s="406">
        <v>0</v>
      </c>
      <c r="I192" s="406">
        <v>0</v>
      </c>
      <c r="J192" s="406">
        <v>0</v>
      </c>
      <c r="K192" s="406">
        <v>0</v>
      </c>
      <c r="L192" s="406">
        <v>0</v>
      </c>
      <c r="M192" s="406" t="e">
        <f>'03'!#REF!+'04'!#REF!</f>
        <v>#REF!</v>
      </c>
      <c r="N192" s="406" t="e">
        <f t="shared" si="42"/>
        <v>#REF!</v>
      </c>
      <c r="O192" s="406" t="e">
        <f>'07'!#REF!</f>
        <v>#REF!</v>
      </c>
      <c r="P192" s="406" t="e">
        <f t="shared" si="43"/>
        <v>#REF!</v>
      </c>
    </row>
    <row r="193" spans="1:16" ht="24.75" customHeight="1" hidden="1">
      <c r="A193" s="428" t="s">
        <v>147</v>
      </c>
      <c r="B193" s="429" t="s">
        <v>146</v>
      </c>
      <c r="C193" s="404">
        <f t="shared" si="46"/>
        <v>0</v>
      </c>
      <c r="D193" s="404">
        <f t="shared" si="47"/>
        <v>0</v>
      </c>
      <c r="E193" s="406">
        <v>0</v>
      </c>
      <c r="F193" s="406">
        <v>0</v>
      </c>
      <c r="G193" s="406">
        <v>0</v>
      </c>
      <c r="H193" s="406">
        <v>0</v>
      </c>
      <c r="I193" s="406">
        <v>0</v>
      </c>
      <c r="J193" s="406">
        <v>0</v>
      </c>
      <c r="K193" s="406">
        <v>0</v>
      </c>
      <c r="L193" s="406">
        <v>0</v>
      </c>
      <c r="M193" s="406" t="e">
        <f>'03'!#REF!+'04'!#REF!</f>
        <v>#REF!</v>
      </c>
      <c r="N193" s="406" t="e">
        <f t="shared" si="42"/>
        <v>#REF!</v>
      </c>
      <c r="O193" s="406" t="e">
        <f>'07'!#REF!</f>
        <v>#REF!</v>
      </c>
      <c r="P193" s="406" t="e">
        <f t="shared" si="43"/>
        <v>#REF!</v>
      </c>
    </row>
    <row r="194" spans="1:16" ht="24.75" customHeight="1" hidden="1">
      <c r="A194" s="428" t="s">
        <v>149</v>
      </c>
      <c r="B194" s="431" t="s">
        <v>148</v>
      </c>
      <c r="C194" s="404">
        <f t="shared" si="46"/>
        <v>0</v>
      </c>
      <c r="D194" s="404">
        <f t="shared" si="47"/>
        <v>0</v>
      </c>
      <c r="E194" s="406">
        <v>0</v>
      </c>
      <c r="F194" s="406">
        <v>0</v>
      </c>
      <c r="G194" s="406">
        <v>0</v>
      </c>
      <c r="H194" s="406">
        <v>0</v>
      </c>
      <c r="I194" s="406">
        <v>0</v>
      </c>
      <c r="J194" s="406">
        <v>0</v>
      </c>
      <c r="K194" s="406">
        <v>0</v>
      </c>
      <c r="L194" s="406">
        <v>0</v>
      </c>
      <c r="M194" s="406" t="e">
        <f>'03'!#REF!+'04'!#REF!</f>
        <v>#REF!</v>
      </c>
      <c r="N194" s="406" t="e">
        <f t="shared" si="42"/>
        <v>#REF!</v>
      </c>
      <c r="O194" s="406" t="e">
        <f>'07'!#REF!</f>
        <v>#REF!</v>
      </c>
      <c r="P194" s="406" t="e">
        <f t="shared" si="43"/>
        <v>#REF!</v>
      </c>
    </row>
    <row r="195" spans="1:16" ht="24.75" customHeight="1" hidden="1">
      <c r="A195" s="428" t="s">
        <v>186</v>
      </c>
      <c r="B195" s="429" t="s">
        <v>150</v>
      </c>
      <c r="C195" s="404">
        <f t="shared" si="46"/>
        <v>114336</v>
      </c>
      <c r="D195" s="404">
        <f t="shared" si="47"/>
        <v>0</v>
      </c>
      <c r="E195" s="406">
        <v>0</v>
      </c>
      <c r="F195" s="406">
        <v>0</v>
      </c>
      <c r="G195" s="406">
        <v>0</v>
      </c>
      <c r="H195" s="406">
        <v>0</v>
      </c>
      <c r="I195" s="406">
        <v>0</v>
      </c>
      <c r="J195" s="406">
        <v>0</v>
      </c>
      <c r="K195" s="406">
        <v>0</v>
      </c>
      <c r="L195" s="406">
        <v>114336</v>
      </c>
      <c r="M195" s="406" t="e">
        <f>'03'!#REF!+'04'!#REF!</f>
        <v>#REF!</v>
      </c>
      <c r="N195" s="406" t="e">
        <f t="shared" si="42"/>
        <v>#REF!</v>
      </c>
      <c r="O195" s="406" t="e">
        <f>'07'!#REF!</f>
        <v>#REF!</v>
      </c>
      <c r="P195" s="406" t="e">
        <f t="shared" si="43"/>
        <v>#REF!</v>
      </c>
    </row>
    <row r="196" spans="1:16" ht="24.75" customHeight="1" hidden="1">
      <c r="A196" s="394" t="s">
        <v>53</v>
      </c>
      <c r="B196" s="395" t="s">
        <v>151</v>
      </c>
      <c r="C196" s="404">
        <f t="shared" si="46"/>
        <v>2089366</v>
      </c>
      <c r="D196" s="404">
        <f t="shared" si="47"/>
        <v>1722531</v>
      </c>
      <c r="E196" s="406">
        <v>691490</v>
      </c>
      <c r="F196" s="406">
        <v>0</v>
      </c>
      <c r="G196" s="406">
        <v>130438</v>
      </c>
      <c r="H196" s="406">
        <v>649319</v>
      </c>
      <c r="I196" s="406">
        <v>251284</v>
      </c>
      <c r="J196" s="406">
        <v>0</v>
      </c>
      <c r="K196" s="406">
        <v>0</v>
      </c>
      <c r="L196" s="406">
        <v>366835</v>
      </c>
      <c r="M196" s="404" t="e">
        <f>'03'!#REF!+'04'!#REF!</f>
        <v>#REF!</v>
      </c>
      <c r="N196" s="404" t="e">
        <f t="shared" si="42"/>
        <v>#REF!</v>
      </c>
      <c r="O196" s="404" t="e">
        <f>'07'!#REF!</f>
        <v>#REF!</v>
      </c>
      <c r="P196" s="404" t="e">
        <f t="shared" si="43"/>
        <v>#REF!</v>
      </c>
    </row>
    <row r="197" spans="1:16" ht="24.75" customHeight="1" hidden="1">
      <c r="A197" s="452" t="s">
        <v>76</v>
      </c>
      <c r="B197" s="477" t="s">
        <v>215</v>
      </c>
      <c r="C197" s="461">
        <f>(C188+C189+C190)/C187</f>
        <v>0.17172537630756696</v>
      </c>
      <c r="D197" s="396">
        <f aca="true" t="shared" si="48" ref="D197:L197">(D188+D189+D190)/D187</f>
        <v>0.40628691429321434</v>
      </c>
      <c r="E197" s="412">
        <f t="shared" si="48"/>
        <v>0.2666854563545443</v>
      </c>
      <c r="F197" s="412" t="e">
        <f t="shared" si="48"/>
        <v>#DIV/0!</v>
      </c>
      <c r="G197" s="412">
        <f t="shared" si="48"/>
        <v>1</v>
      </c>
      <c r="H197" s="412">
        <f t="shared" si="48"/>
        <v>1</v>
      </c>
      <c r="I197" s="412">
        <f t="shared" si="48"/>
        <v>0.2</v>
      </c>
      <c r="J197" s="412">
        <f t="shared" si="48"/>
        <v>0.8008626639061421</v>
      </c>
      <c r="K197" s="412">
        <f t="shared" si="48"/>
        <v>0.012180036293055014</v>
      </c>
      <c r="L197" s="412">
        <f t="shared" si="48"/>
        <v>0.19441839651381007</v>
      </c>
      <c r="M197" s="422"/>
      <c r="N197" s="478"/>
      <c r="O197" s="478"/>
      <c r="P197" s="478"/>
    </row>
    <row r="198" spans="1:16" ht="17.25" hidden="1">
      <c r="A198" s="1548" t="s">
        <v>498</v>
      </c>
      <c r="B198" s="1548"/>
      <c r="C198" s="406">
        <f>C181-C184-C185-C186</f>
        <v>0</v>
      </c>
      <c r="D198" s="406">
        <f aca="true" t="shared" si="49" ref="D198:L198">D181-D184-D185-D186</f>
        <v>0</v>
      </c>
      <c r="E198" s="406">
        <f t="shared" si="49"/>
        <v>0</v>
      </c>
      <c r="F198" s="406">
        <f t="shared" si="49"/>
        <v>0</v>
      </c>
      <c r="G198" s="406">
        <f t="shared" si="49"/>
        <v>0</v>
      </c>
      <c r="H198" s="406">
        <f t="shared" si="49"/>
        <v>0</v>
      </c>
      <c r="I198" s="406">
        <f t="shared" si="49"/>
        <v>0</v>
      </c>
      <c r="J198" s="406">
        <f t="shared" si="49"/>
        <v>0</v>
      </c>
      <c r="K198" s="406">
        <f t="shared" si="49"/>
        <v>0</v>
      </c>
      <c r="L198" s="406">
        <f t="shared" si="49"/>
        <v>0</v>
      </c>
      <c r="M198" s="422"/>
      <c r="N198" s="478"/>
      <c r="O198" s="478"/>
      <c r="P198" s="478"/>
    </row>
    <row r="199" spans="1:16" ht="17.25" hidden="1">
      <c r="A199" s="1549" t="s">
        <v>499</v>
      </c>
      <c r="B199" s="1549"/>
      <c r="C199" s="406">
        <f>C186-C187-C196</f>
        <v>0</v>
      </c>
      <c r="D199" s="406">
        <f aca="true" t="shared" si="50" ref="D199:L199">D186-D187-D196</f>
        <v>0</v>
      </c>
      <c r="E199" s="406">
        <f t="shared" si="50"/>
        <v>0</v>
      </c>
      <c r="F199" s="406">
        <f t="shared" si="50"/>
        <v>0</v>
      </c>
      <c r="G199" s="406">
        <f t="shared" si="50"/>
        <v>0</v>
      </c>
      <c r="H199" s="406">
        <f t="shared" si="50"/>
        <v>0</v>
      </c>
      <c r="I199" s="406">
        <f t="shared" si="50"/>
        <v>0</v>
      </c>
      <c r="J199" s="406">
        <f t="shared" si="50"/>
        <v>0</v>
      </c>
      <c r="K199" s="406">
        <f t="shared" si="50"/>
        <v>0</v>
      </c>
      <c r="L199" s="406">
        <f t="shared" si="50"/>
        <v>0</v>
      </c>
      <c r="M199" s="422"/>
      <c r="N199" s="478"/>
      <c r="O199" s="478"/>
      <c r="P199" s="478"/>
    </row>
    <row r="200" spans="1:16" ht="18.75" hidden="1">
      <c r="A200" s="463"/>
      <c r="B200" s="479" t="s">
        <v>518</v>
      </c>
      <c r="C200" s="479"/>
      <c r="D200" s="453"/>
      <c r="E200" s="453"/>
      <c r="F200" s="453"/>
      <c r="G200" s="1575" t="s">
        <v>518</v>
      </c>
      <c r="H200" s="1575"/>
      <c r="I200" s="1575"/>
      <c r="J200" s="1575"/>
      <c r="K200" s="1575"/>
      <c r="L200" s="1575"/>
      <c r="M200" s="466"/>
      <c r="N200" s="466"/>
      <c r="O200" s="466"/>
      <c r="P200" s="466"/>
    </row>
    <row r="201" spans="1:16" ht="18.75" hidden="1">
      <c r="A201" s="1576" t="s">
        <v>4</v>
      </c>
      <c r="B201" s="1576"/>
      <c r="C201" s="1576"/>
      <c r="D201" s="1576"/>
      <c r="E201" s="453"/>
      <c r="F201" s="453"/>
      <c r="G201" s="480"/>
      <c r="H201" s="1577" t="s">
        <v>519</v>
      </c>
      <c r="I201" s="1577"/>
      <c r="J201" s="1577"/>
      <c r="K201" s="1577"/>
      <c r="L201" s="1577"/>
      <c r="M201" s="466"/>
      <c r="N201" s="466"/>
      <c r="O201" s="466"/>
      <c r="P201" s="466"/>
    </row>
    <row r="202" ht="15" hidden="1"/>
    <row r="203" ht="15" hidden="1"/>
    <row r="204" ht="15" hidden="1"/>
    <row r="205" ht="15" hidden="1"/>
    <row r="206" ht="15" hidden="1"/>
    <row r="207" ht="15" hidden="1"/>
    <row r="208" ht="15" hidden="1"/>
    <row r="209" ht="15" hidden="1"/>
    <row r="210" ht="15" hidden="1"/>
    <row r="211" spans="1:13" ht="16.5" hidden="1">
      <c r="A211" s="1560" t="s">
        <v>33</v>
      </c>
      <c r="B211" s="1561"/>
      <c r="C211" s="462"/>
      <c r="D211" s="1537" t="s">
        <v>79</v>
      </c>
      <c r="E211" s="1537"/>
      <c r="F211" s="1537"/>
      <c r="G211" s="1537"/>
      <c r="H211" s="1537"/>
      <c r="I211" s="1537"/>
      <c r="J211" s="1537"/>
      <c r="K211" s="1562"/>
      <c r="L211" s="1562"/>
      <c r="M211" s="466"/>
    </row>
    <row r="212" spans="1:13" ht="16.5" hidden="1">
      <c r="A212" s="1526" t="s">
        <v>342</v>
      </c>
      <c r="B212" s="1526"/>
      <c r="C212" s="1526"/>
      <c r="D212" s="1537" t="s">
        <v>216</v>
      </c>
      <c r="E212" s="1537"/>
      <c r="F212" s="1537"/>
      <c r="G212" s="1537"/>
      <c r="H212" s="1537"/>
      <c r="I212" s="1537"/>
      <c r="J212" s="1537"/>
      <c r="K212" s="1574" t="s">
        <v>509</v>
      </c>
      <c r="L212" s="1574"/>
      <c r="M212" s="463"/>
    </row>
    <row r="213" spans="1:13" ht="16.5" hidden="1">
      <c r="A213" s="1526" t="s">
        <v>343</v>
      </c>
      <c r="B213" s="1526"/>
      <c r="C213" s="413"/>
      <c r="D213" s="1541" t="s">
        <v>11</v>
      </c>
      <c r="E213" s="1541"/>
      <c r="F213" s="1541"/>
      <c r="G213" s="1541"/>
      <c r="H213" s="1541"/>
      <c r="I213" s="1541"/>
      <c r="J213" s="1541"/>
      <c r="K213" s="1562"/>
      <c r="L213" s="1562"/>
      <c r="M213" s="466"/>
    </row>
    <row r="214" spans="1:13" ht="15.75" hidden="1">
      <c r="A214" s="432" t="s">
        <v>119</v>
      </c>
      <c r="B214" s="432"/>
      <c r="C214" s="418"/>
      <c r="D214" s="467"/>
      <c r="E214" s="467"/>
      <c r="F214" s="468"/>
      <c r="G214" s="468"/>
      <c r="H214" s="468"/>
      <c r="I214" s="468"/>
      <c r="J214" s="468"/>
      <c r="K214" s="1578"/>
      <c r="L214" s="1578"/>
      <c r="M214" s="463"/>
    </row>
    <row r="215" spans="1:13" ht="15.75" hidden="1">
      <c r="A215" s="467"/>
      <c r="B215" s="467" t="s">
        <v>94</v>
      </c>
      <c r="C215" s="467"/>
      <c r="D215" s="467"/>
      <c r="E215" s="467"/>
      <c r="F215" s="467"/>
      <c r="G215" s="467"/>
      <c r="H215" s="467"/>
      <c r="I215" s="467"/>
      <c r="J215" s="467"/>
      <c r="K215" s="1563"/>
      <c r="L215" s="1563"/>
      <c r="M215" s="463"/>
    </row>
    <row r="216" spans="1:13" ht="15.75" hidden="1">
      <c r="A216" s="1256" t="s">
        <v>71</v>
      </c>
      <c r="B216" s="1257"/>
      <c r="C216" s="1542" t="s">
        <v>38</v>
      </c>
      <c r="D216" s="1564" t="s">
        <v>339</v>
      </c>
      <c r="E216" s="1564"/>
      <c r="F216" s="1564"/>
      <c r="G216" s="1564"/>
      <c r="H216" s="1564"/>
      <c r="I216" s="1564"/>
      <c r="J216" s="1564"/>
      <c r="K216" s="1564"/>
      <c r="L216" s="1564"/>
      <c r="M216" s="466"/>
    </row>
    <row r="217" spans="1:13" ht="15.75" hidden="1">
      <c r="A217" s="1258"/>
      <c r="B217" s="1259"/>
      <c r="C217" s="1542"/>
      <c r="D217" s="1579" t="s">
        <v>207</v>
      </c>
      <c r="E217" s="1580"/>
      <c r="F217" s="1580"/>
      <c r="G217" s="1580"/>
      <c r="H217" s="1580"/>
      <c r="I217" s="1580"/>
      <c r="J217" s="1581"/>
      <c r="K217" s="1582" t="s">
        <v>208</v>
      </c>
      <c r="L217" s="1582" t="s">
        <v>209</v>
      </c>
      <c r="M217" s="463"/>
    </row>
    <row r="218" spans="1:13" ht="15.75" hidden="1">
      <c r="A218" s="1258"/>
      <c r="B218" s="1259"/>
      <c r="C218" s="1542"/>
      <c r="D218" s="1587" t="s">
        <v>37</v>
      </c>
      <c r="E218" s="1588" t="s">
        <v>7</v>
      </c>
      <c r="F218" s="1589"/>
      <c r="G218" s="1589"/>
      <c r="H218" s="1589"/>
      <c r="I218" s="1589"/>
      <c r="J218" s="1590"/>
      <c r="K218" s="1583"/>
      <c r="L218" s="1585"/>
      <c r="M218" s="463"/>
    </row>
    <row r="219" spans="1:16" ht="15.75" hidden="1">
      <c r="A219" s="1546"/>
      <c r="B219" s="1547"/>
      <c r="C219" s="1542"/>
      <c r="D219" s="1587"/>
      <c r="E219" s="469" t="s">
        <v>210</v>
      </c>
      <c r="F219" s="469" t="s">
        <v>211</v>
      </c>
      <c r="G219" s="469" t="s">
        <v>212</v>
      </c>
      <c r="H219" s="469" t="s">
        <v>213</v>
      </c>
      <c r="I219" s="469" t="s">
        <v>344</v>
      </c>
      <c r="J219" s="469" t="s">
        <v>214</v>
      </c>
      <c r="K219" s="1584"/>
      <c r="L219" s="1586"/>
      <c r="M219" s="1540" t="s">
        <v>500</v>
      </c>
      <c r="N219" s="1540"/>
      <c r="O219" s="1540"/>
      <c r="P219" s="1540"/>
    </row>
    <row r="220" spans="1:16" ht="15" hidden="1">
      <c r="A220" s="1544" t="s">
        <v>6</v>
      </c>
      <c r="B220" s="1545"/>
      <c r="C220" s="470">
        <v>1</v>
      </c>
      <c r="D220" s="471">
        <v>2</v>
      </c>
      <c r="E220" s="470">
        <v>3</v>
      </c>
      <c r="F220" s="471">
        <v>4</v>
      </c>
      <c r="G220" s="470">
        <v>5</v>
      </c>
      <c r="H220" s="471">
        <v>6</v>
      </c>
      <c r="I220" s="470">
        <v>7</v>
      </c>
      <c r="J220" s="471">
        <v>8</v>
      </c>
      <c r="K220" s="470">
        <v>9</v>
      </c>
      <c r="L220" s="471">
        <v>10</v>
      </c>
      <c r="M220" s="472" t="s">
        <v>501</v>
      </c>
      <c r="N220" s="473" t="s">
        <v>504</v>
      </c>
      <c r="O220" s="473" t="s">
        <v>502</v>
      </c>
      <c r="P220" s="473" t="s">
        <v>503</v>
      </c>
    </row>
    <row r="221" spans="1:16" ht="24.75" customHeight="1" hidden="1">
      <c r="A221" s="425" t="s">
        <v>0</v>
      </c>
      <c r="B221" s="426" t="s">
        <v>131</v>
      </c>
      <c r="C221" s="404">
        <f>C222+C223</f>
        <v>151317.2</v>
      </c>
      <c r="D221" s="404">
        <f aca="true" t="shared" si="51" ref="D221:L221">D222+D223</f>
        <v>70217.2</v>
      </c>
      <c r="E221" s="404">
        <f t="shared" si="51"/>
        <v>30144.2</v>
      </c>
      <c r="F221" s="404">
        <f t="shared" si="51"/>
        <v>0</v>
      </c>
      <c r="G221" s="404">
        <f t="shared" si="51"/>
        <v>26600</v>
      </c>
      <c r="H221" s="404">
        <f t="shared" si="51"/>
        <v>10300</v>
      </c>
      <c r="I221" s="404">
        <f t="shared" si="51"/>
        <v>0</v>
      </c>
      <c r="J221" s="404">
        <f t="shared" si="51"/>
        <v>3173</v>
      </c>
      <c r="K221" s="404">
        <f t="shared" si="51"/>
        <v>0</v>
      </c>
      <c r="L221" s="404">
        <f t="shared" si="51"/>
        <v>81100</v>
      </c>
      <c r="M221" s="404" t="e">
        <f>'03'!#REF!+'04'!#REF!</f>
        <v>#REF!</v>
      </c>
      <c r="N221" s="404" t="e">
        <f>C221-M221</f>
        <v>#REF!</v>
      </c>
      <c r="O221" s="404" t="e">
        <f>'07'!#REF!</f>
        <v>#REF!</v>
      </c>
      <c r="P221" s="404" t="e">
        <f>C221-O221</f>
        <v>#REF!</v>
      </c>
    </row>
    <row r="222" spans="1:16" ht="24.75" customHeight="1" hidden="1">
      <c r="A222" s="428">
        <v>1</v>
      </c>
      <c r="B222" s="429" t="s">
        <v>132</v>
      </c>
      <c r="C222" s="404">
        <f>D222+K222+L222</f>
        <v>41540</v>
      </c>
      <c r="D222" s="404">
        <f>E222+F222+G222+H222+I222+J222</f>
        <v>41540</v>
      </c>
      <c r="E222" s="406">
        <v>4640</v>
      </c>
      <c r="F222" s="406"/>
      <c r="G222" s="406">
        <v>26600</v>
      </c>
      <c r="H222" s="406">
        <v>10300</v>
      </c>
      <c r="I222" s="406"/>
      <c r="J222" s="406"/>
      <c r="K222" s="406"/>
      <c r="L222" s="406"/>
      <c r="M222" s="406" t="e">
        <f>'03'!#REF!+'04'!#REF!</f>
        <v>#REF!</v>
      </c>
      <c r="N222" s="406" t="e">
        <f aca="true" t="shared" si="52" ref="N222:N236">C222-M222</f>
        <v>#REF!</v>
      </c>
      <c r="O222" s="404" t="e">
        <f>'07'!#REF!</f>
        <v>#REF!</v>
      </c>
      <c r="P222" s="406" t="e">
        <f aca="true" t="shared" si="53" ref="P222:P236">C222-O222</f>
        <v>#REF!</v>
      </c>
    </row>
    <row r="223" spans="1:16" ht="24.75" customHeight="1" hidden="1">
      <c r="A223" s="428">
        <v>2</v>
      </c>
      <c r="B223" s="429" t="s">
        <v>133</v>
      </c>
      <c r="C223" s="404">
        <f>D223+K223+L223</f>
        <v>109777.2</v>
      </c>
      <c r="D223" s="404">
        <f>E223+F223+G223+H223+I223+J223</f>
        <v>28677.2</v>
      </c>
      <c r="E223" s="406">
        <v>25504.2</v>
      </c>
      <c r="F223" s="406">
        <v>0</v>
      </c>
      <c r="G223" s="406">
        <v>0</v>
      </c>
      <c r="H223" s="406">
        <v>0</v>
      </c>
      <c r="I223" s="406">
        <v>0</v>
      </c>
      <c r="J223" s="406">
        <v>3173</v>
      </c>
      <c r="K223" s="406">
        <v>0</v>
      </c>
      <c r="L223" s="406">
        <v>81100</v>
      </c>
      <c r="M223" s="406" t="e">
        <f>'03'!#REF!+'04'!#REF!</f>
        <v>#REF!</v>
      </c>
      <c r="N223" s="406" t="e">
        <f t="shared" si="52"/>
        <v>#REF!</v>
      </c>
      <c r="O223" s="404" t="e">
        <f>'07'!#REF!</f>
        <v>#REF!</v>
      </c>
      <c r="P223" s="406" t="e">
        <f t="shared" si="53"/>
        <v>#REF!</v>
      </c>
    </row>
    <row r="224" spans="1:16" ht="24.75" customHeight="1" hidden="1">
      <c r="A224" s="394" t="s">
        <v>1</v>
      </c>
      <c r="B224" s="395" t="s">
        <v>134</v>
      </c>
      <c r="C224" s="404">
        <f>D224+K224+L224</f>
        <v>0</v>
      </c>
      <c r="D224" s="404">
        <f>E224+F224+G224+H224+I224+J224</f>
        <v>0</v>
      </c>
      <c r="E224" s="406">
        <v>0</v>
      </c>
      <c r="F224" s="406">
        <v>0</v>
      </c>
      <c r="G224" s="406">
        <v>0</v>
      </c>
      <c r="H224" s="406">
        <v>0</v>
      </c>
      <c r="I224" s="406">
        <v>0</v>
      </c>
      <c r="J224" s="406">
        <v>0</v>
      </c>
      <c r="K224" s="406">
        <v>0</v>
      </c>
      <c r="L224" s="406">
        <v>0</v>
      </c>
      <c r="M224" s="406" t="e">
        <f>'03'!#REF!+'04'!#REF!</f>
        <v>#REF!</v>
      </c>
      <c r="N224" s="406" t="e">
        <f t="shared" si="52"/>
        <v>#REF!</v>
      </c>
      <c r="O224" s="406" t="e">
        <f>'07'!#REF!</f>
        <v>#REF!</v>
      </c>
      <c r="P224" s="406" t="e">
        <f t="shared" si="53"/>
        <v>#REF!</v>
      </c>
    </row>
    <row r="225" spans="1:16" ht="24.75" customHeight="1" hidden="1">
      <c r="A225" s="394" t="s">
        <v>9</v>
      </c>
      <c r="B225" s="395" t="s">
        <v>135</v>
      </c>
      <c r="C225" s="404">
        <f>D225+K225+L225</f>
        <v>0</v>
      </c>
      <c r="D225" s="404">
        <f>E225+F225+G225+H225+I225+J225</f>
        <v>0</v>
      </c>
      <c r="E225" s="406">
        <v>0</v>
      </c>
      <c r="F225" s="406">
        <v>0</v>
      </c>
      <c r="G225" s="406">
        <v>0</v>
      </c>
      <c r="H225" s="406">
        <v>0</v>
      </c>
      <c r="I225" s="406">
        <v>0</v>
      </c>
      <c r="J225" s="406">
        <v>0</v>
      </c>
      <c r="K225" s="406">
        <v>0</v>
      </c>
      <c r="L225" s="406">
        <v>0</v>
      </c>
      <c r="M225" s="406" t="e">
        <f>'03'!#REF!+'04'!#REF!</f>
        <v>#REF!</v>
      </c>
      <c r="N225" s="406" t="e">
        <f t="shared" si="52"/>
        <v>#REF!</v>
      </c>
      <c r="O225" s="406" t="e">
        <f>'07'!#REF!</f>
        <v>#REF!</v>
      </c>
      <c r="P225" s="406" t="e">
        <f t="shared" si="53"/>
        <v>#REF!</v>
      </c>
    </row>
    <row r="226" spans="1:16" ht="24.75" customHeight="1" hidden="1">
      <c r="A226" s="394" t="s">
        <v>136</v>
      </c>
      <c r="B226" s="395" t="s">
        <v>137</v>
      </c>
      <c r="C226" s="404">
        <f>C227+C236</f>
        <v>151317.2</v>
      </c>
      <c r="D226" s="404">
        <f aca="true" t="shared" si="54" ref="D226:L226">D227+D236</f>
        <v>70217.2</v>
      </c>
      <c r="E226" s="404">
        <f t="shared" si="54"/>
        <v>30144.2</v>
      </c>
      <c r="F226" s="404">
        <f t="shared" si="54"/>
        <v>0</v>
      </c>
      <c r="G226" s="404">
        <f t="shared" si="54"/>
        <v>26600</v>
      </c>
      <c r="H226" s="404">
        <f t="shared" si="54"/>
        <v>10300</v>
      </c>
      <c r="I226" s="404">
        <f t="shared" si="54"/>
        <v>0</v>
      </c>
      <c r="J226" s="404">
        <f t="shared" si="54"/>
        <v>3173</v>
      </c>
      <c r="K226" s="404">
        <f t="shared" si="54"/>
        <v>0</v>
      </c>
      <c r="L226" s="404">
        <f t="shared" si="54"/>
        <v>81100</v>
      </c>
      <c r="M226" s="404" t="e">
        <f>'03'!#REF!+'04'!#REF!</f>
        <v>#REF!</v>
      </c>
      <c r="N226" s="404" t="e">
        <f t="shared" si="52"/>
        <v>#REF!</v>
      </c>
      <c r="O226" s="404" t="e">
        <f>'07'!#REF!</f>
        <v>#REF!</v>
      </c>
      <c r="P226" s="404" t="e">
        <f t="shared" si="53"/>
        <v>#REF!</v>
      </c>
    </row>
    <row r="227" spans="1:16" ht="24.75" customHeight="1" hidden="1">
      <c r="A227" s="394" t="s">
        <v>52</v>
      </c>
      <c r="B227" s="430" t="s">
        <v>138</v>
      </c>
      <c r="C227" s="404">
        <f>SUM(C228:C235)</f>
        <v>109777.2</v>
      </c>
      <c r="D227" s="404">
        <f aca="true" t="shared" si="55" ref="D227:L227">SUM(D228:D235)</f>
        <v>28677.2</v>
      </c>
      <c r="E227" s="404">
        <f t="shared" si="55"/>
        <v>25504.2</v>
      </c>
      <c r="F227" s="404">
        <f t="shared" si="55"/>
        <v>0</v>
      </c>
      <c r="G227" s="404">
        <f t="shared" si="55"/>
        <v>0</v>
      </c>
      <c r="H227" s="404">
        <f t="shared" si="55"/>
        <v>0</v>
      </c>
      <c r="I227" s="404">
        <f t="shared" si="55"/>
        <v>0</v>
      </c>
      <c r="J227" s="404">
        <f t="shared" si="55"/>
        <v>3173</v>
      </c>
      <c r="K227" s="404">
        <f t="shared" si="55"/>
        <v>0</v>
      </c>
      <c r="L227" s="404">
        <f t="shared" si="55"/>
        <v>81100</v>
      </c>
      <c r="M227" s="404" t="e">
        <f>'03'!#REF!+'04'!#REF!</f>
        <v>#REF!</v>
      </c>
      <c r="N227" s="404" t="e">
        <f t="shared" si="52"/>
        <v>#REF!</v>
      </c>
      <c r="O227" s="404" t="e">
        <f>'07'!#REF!</f>
        <v>#REF!</v>
      </c>
      <c r="P227" s="404" t="e">
        <f t="shared" si="53"/>
        <v>#REF!</v>
      </c>
    </row>
    <row r="228" spans="1:16" ht="24.75" customHeight="1" hidden="1">
      <c r="A228" s="428" t="s">
        <v>54</v>
      </c>
      <c r="B228" s="429" t="s">
        <v>139</v>
      </c>
      <c r="C228" s="404">
        <f aca="true" t="shared" si="56" ref="C228:C236">D228+K228+L228</f>
        <v>60767</v>
      </c>
      <c r="D228" s="404">
        <f aca="true" t="shared" si="57" ref="D228:D236">E228+F228+G228+H228+I228+J228</f>
        <v>16267</v>
      </c>
      <c r="E228" s="406">
        <v>13195</v>
      </c>
      <c r="F228" s="406">
        <v>0</v>
      </c>
      <c r="G228" s="406">
        <v>0</v>
      </c>
      <c r="H228" s="406">
        <v>0</v>
      </c>
      <c r="I228" s="406">
        <v>0</v>
      </c>
      <c r="J228" s="406">
        <v>3072</v>
      </c>
      <c r="K228" s="406">
        <v>0</v>
      </c>
      <c r="L228" s="406">
        <v>44500</v>
      </c>
      <c r="M228" s="406" t="e">
        <f>'03'!#REF!+'04'!#REF!</f>
        <v>#REF!</v>
      </c>
      <c r="N228" s="406" t="e">
        <f t="shared" si="52"/>
        <v>#REF!</v>
      </c>
      <c r="O228" s="406" t="e">
        <f>'07'!#REF!</f>
        <v>#REF!</v>
      </c>
      <c r="P228" s="406" t="e">
        <f t="shared" si="53"/>
        <v>#REF!</v>
      </c>
    </row>
    <row r="229" spans="1:16" ht="24.75" customHeight="1" hidden="1">
      <c r="A229" s="428" t="s">
        <v>55</v>
      </c>
      <c r="B229" s="429" t="s">
        <v>140</v>
      </c>
      <c r="C229" s="404">
        <f t="shared" si="56"/>
        <v>0</v>
      </c>
      <c r="D229" s="404">
        <f t="shared" si="57"/>
        <v>0</v>
      </c>
      <c r="E229" s="406">
        <v>0</v>
      </c>
      <c r="F229" s="406">
        <v>0</v>
      </c>
      <c r="G229" s="406">
        <v>0</v>
      </c>
      <c r="H229" s="406">
        <v>0</v>
      </c>
      <c r="I229" s="406">
        <v>0</v>
      </c>
      <c r="J229" s="406">
        <v>0</v>
      </c>
      <c r="K229" s="406">
        <v>0</v>
      </c>
      <c r="L229" s="406">
        <v>0</v>
      </c>
      <c r="M229" s="406" t="e">
        <f>'03'!#REF!+'04'!#REF!</f>
        <v>#REF!</v>
      </c>
      <c r="N229" s="406" t="e">
        <f t="shared" si="52"/>
        <v>#REF!</v>
      </c>
      <c r="O229" s="406" t="e">
        <f>'07'!#REF!</f>
        <v>#REF!</v>
      </c>
      <c r="P229" s="406" t="e">
        <f t="shared" si="53"/>
        <v>#REF!</v>
      </c>
    </row>
    <row r="230" spans="1:16" ht="24.75" customHeight="1" hidden="1">
      <c r="A230" s="428" t="s">
        <v>141</v>
      </c>
      <c r="B230" s="429" t="s">
        <v>202</v>
      </c>
      <c r="C230" s="404">
        <f t="shared" si="56"/>
        <v>0</v>
      </c>
      <c r="D230" s="404">
        <f t="shared" si="57"/>
        <v>0</v>
      </c>
      <c r="E230" s="406">
        <v>0</v>
      </c>
      <c r="F230" s="406">
        <v>0</v>
      </c>
      <c r="G230" s="406">
        <v>0</v>
      </c>
      <c r="H230" s="406">
        <v>0</v>
      </c>
      <c r="I230" s="406">
        <v>0</v>
      </c>
      <c r="J230" s="406">
        <v>0</v>
      </c>
      <c r="K230" s="406">
        <v>0</v>
      </c>
      <c r="L230" s="406">
        <v>0</v>
      </c>
      <c r="M230" s="406" t="e">
        <f>'03'!#REF!</f>
        <v>#REF!</v>
      </c>
      <c r="N230" s="406" t="e">
        <f t="shared" si="52"/>
        <v>#REF!</v>
      </c>
      <c r="O230" s="406" t="e">
        <f>'07'!#REF!</f>
        <v>#REF!</v>
      </c>
      <c r="P230" s="406" t="e">
        <f t="shared" si="53"/>
        <v>#REF!</v>
      </c>
    </row>
    <row r="231" spans="1:16" ht="24.75" customHeight="1" hidden="1">
      <c r="A231" s="428" t="s">
        <v>143</v>
      </c>
      <c r="B231" s="429" t="s">
        <v>142</v>
      </c>
      <c r="C231" s="404">
        <f t="shared" si="56"/>
        <v>49010.2</v>
      </c>
      <c r="D231" s="404">
        <f t="shared" si="57"/>
        <v>12410.2</v>
      </c>
      <c r="E231" s="406">
        <v>12309.2</v>
      </c>
      <c r="F231" s="406">
        <v>0</v>
      </c>
      <c r="G231" s="406">
        <v>0</v>
      </c>
      <c r="H231" s="406">
        <v>0</v>
      </c>
      <c r="I231" s="406">
        <v>0</v>
      </c>
      <c r="J231" s="406">
        <v>101</v>
      </c>
      <c r="K231" s="406">
        <v>0</v>
      </c>
      <c r="L231" s="406">
        <v>36600</v>
      </c>
      <c r="M231" s="406" t="e">
        <f>'03'!#REF!+'04'!#REF!</f>
        <v>#REF!</v>
      </c>
      <c r="N231" s="406" t="e">
        <f t="shared" si="52"/>
        <v>#REF!</v>
      </c>
      <c r="O231" s="406" t="e">
        <f>'07'!#REF!</f>
        <v>#REF!</v>
      </c>
      <c r="P231" s="406" t="e">
        <f t="shared" si="53"/>
        <v>#REF!</v>
      </c>
    </row>
    <row r="232" spans="1:16" ht="24.75" customHeight="1" hidden="1">
      <c r="A232" s="428" t="s">
        <v>145</v>
      </c>
      <c r="B232" s="429" t="s">
        <v>144</v>
      </c>
      <c r="C232" s="404">
        <f t="shared" si="56"/>
        <v>0</v>
      </c>
      <c r="D232" s="404">
        <f t="shared" si="57"/>
        <v>0</v>
      </c>
      <c r="E232" s="406">
        <v>0</v>
      </c>
      <c r="F232" s="406">
        <v>0</v>
      </c>
      <c r="G232" s="406">
        <v>0</v>
      </c>
      <c r="H232" s="406">
        <v>0</v>
      </c>
      <c r="I232" s="406">
        <v>0</v>
      </c>
      <c r="J232" s="406">
        <v>0</v>
      </c>
      <c r="K232" s="406">
        <v>0</v>
      </c>
      <c r="L232" s="406">
        <v>0</v>
      </c>
      <c r="M232" s="406" t="e">
        <f>'03'!#REF!+'04'!#REF!</f>
        <v>#REF!</v>
      </c>
      <c r="N232" s="406" t="e">
        <f t="shared" si="52"/>
        <v>#REF!</v>
      </c>
      <c r="O232" s="406" t="e">
        <f>'07'!#REF!</f>
        <v>#REF!</v>
      </c>
      <c r="P232" s="406" t="e">
        <f t="shared" si="53"/>
        <v>#REF!</v>
      </c>
    </row>
    <row r="233" spans="1:16" ht="24.75" customHeight="1" hidden="1">
      <c r="A233" s="428" t="s">
        <v>147</v>
      </c>
      <c r="B233" s="429" t="s">
        <v>146</v>
      </c>
      <c r="C233" s="404">
        <f t="shared" si="56"/>
        <v>0</v>
      </c>
      <c r="D233" s="404">
        <f t="shared" si="57"/>
        <v>0</v>
      </c>
      <c r="E233" s="406">
        <v>0</v>
      </c>
      <c r="F233" s="406">
        <v>0</v>
      </c>
      <c r="G233" s="406">
        <v>0</v>
      </c>
      <c r="H233" s="406">
        <v>0</v>
      </c>
      <c r="I233" s="406">
        <v>0</v>
      </c>
      <c r="J233" s="406">
        <v>0</v>
      </c>
      <c r="K233" s="406">
        <v>0</v>
      </c>
      <c r="L233" s="406">
        <v>0</v>
      </c>
      <c r="M233" s="406" t="e">
        <f>'03'!#REF!+'04'!#REF!</f>
        <v>#REF!</v>
      </c>
      <c r="N233" s="406" t="e">
        <f t="shared" si="52"/>
        <v>#REF!</v>
      </c>
      <c r="O233" s="406" t="e">
        <f>'07'!#REF!</f>
        <v>#REF!</v>
      </c>
      <c r="P233" s="406" t="e">
        <f t="shared" si="53"/>
        <v>#REF!</v>
      </c>
    </row>
    <row r="234" spans="1:16" ht="24.75" customHeight="1" hidden="1">
      <c r="A234" s="428" t="s">
        <v>149</v>
      </c>
      <c r="B234" s="431" t="s">
        <v>148</v>
      </c>
      <c r="C234" s="404">
        <f t="shared" si="56"/>
        <v>0</v>
      </c>
      <c r="D234" s="404">
        <f t="shared" si="57"/>
        <v>0</v>
      </c>
      <c r="E234" s="406">
        <v>0</v>
      </c>
      <c r="F234" s="406">
        <v>0</v>
      </c>
      <c r="G234" s="406"/>
      <c r="H234" s="406">
        <v>0</v>
      </c>
      <c r="I234" s="406">
        <v>0</v>
      </c>
      <c r="J234" s="406">
        <v>0</v>
      </c>
      <c r="K234" s="406">
        <v>0</v>
      </c>
      <c r="L234" s="406">
        <v>0</v>
      </c>
      <c r="M234" s="406" t="e">
        <f>'03'!#REF!+'04'!#REF!</f>
        <v>#REF!</v>
      </c>
      <c r="N234" s="406" t="e">
        <f t="shared" si="52"/>
        <v>#REF!</v>
      </c>
      <c r="O234" s="406" t="e">
        <f>'07'!#REF!</f>
        <v>#REF!</v>
      </c>
      <c r="P234" s="406" t="e">
        <f t="shared" si="53"/>
        <v>#REF!</v>
      </c>
    </row>
    <row r="235" spans="1:16" ht="24.75" customHeight="1" hidden="1">
      <c r="A235" s="428" t="s">
        <v>186</v>
      </c>
      <c r="B235" s="429" t="s">
        <v>150</v>
      </c>
      <c r="C235" s="404">
        <f t="shared" si="56"/>
        <v>0</v>
      </c>
      <c r="D235" s="404">
        <f t="shared" si="57"/>
        <v>0</v>
      </c>
      <c r="E235" s="406">
        <v>0</v>
      </c>
      <c r="F235" s="406">
        <v>0</v>
      </c>
      <c r="G235" s="406">
        <v>0</v>
      </c>
      <c r="H235" s="406">
        <v>0</v>
      </c>
      <c r="I235" s="406">
        <v>0</v>
      </c>
      <c r="J235" s="406">
        <v>0</v>
      </c>
      <c r="K235" s="406">
        <v>0</v>
      </c>
      <c r="L235" s="406">
        <v>0</v>
      </c>
      <c r="M235" s="406" t="e">
        <f>'03'!#REF!+'04'!#REF!</f>
        <v>#REF!</v>
      </c>
      <c r="N235" s="406" t="e">
        <f t="shared" si="52"/>
        <v>#REF!</v>
      </c>
      <c r="O235" s="406" t="e">
        <f>'07'!#REF!</f>
        <v>#REF!</v>
      </c>
      <c r="P235" s="406" t="e">
        <f t="shared" si="53"/>
        <v>#REF!</v>
      </c>
    </row>
    <row r="236" spans="1:16" ht="24.75" customHeight="1" hidden="1">
      <c r="A236" s="394" t="s">
        <v>53</v>
      </c>
      <c r="B236" s="395" t="s">
        <v>151</v>
      </c>
      <c r="C236" s="404">
        <f t="shared" si="56"/>
        <v>41540</v>
      </c>
      <c r="D236" s="404">
        <f t="shared" si="57"/>
        <v>41540</v>
      </c>
      <c r="E236" s="406">
        <v>4640</v>
      </c>
      <c r="F236" s="406">
        <v>0</v>
      </c>
      <c r="G236" s="406">
        <v>26600</v>
      </c>
      <c r="H236" s="406">
        <v>10300</v>
      </c>
      <c r="I236" s="406">
        <v>0</v>
      </c>
      <c r="J236" s="406">
        <v>0</v>
      </c>
      <c r="K236" s="406">
        <v>0</v>
      </c>
      <c r="L236" s="406">
        <v>0</v>
      </c>
      <c r="M236" s="404" t="e">
        <f>'03'!#REF!+'04'!#REF!</f>
        <v>#REF!</v>
      </c>
      <c r="N236" s="404" t="e">
        <f t="shared" si="52"/>
        <v>#REF!</v>
      </c>
      <c r="O236" s="404" t="e">
        <f>'07'!#REF!</f>
        <v>#REF!</v>
      </c>
      <c r="P236" s="404" t="e">
        <f t="shared" si="53"/>
        <v>#REF!</v>
      </c>
    </row>
    <row r="237" spans="1:16" ht="24.75" customHeight="1" hidden="1">
      <c r="A237" s="452" t="s">
        <v>76</v>
      </c>
      <c r="B237" s="477" t="s">
        <v>215</v>
      </c>
      <c r="C237" s="461">
        <f>(C228+C229+C230)/C227</f>
        <v>0.5535484599716517</v>
      </c>
      <c r="D237" s="396">
        <f aca="true" t="shared" si="58" ref="D237:L237">(D228+D229+D230)/D227</f>
        <v>0.5672450587923507</v>
      </c>
      <c r="E237" s="412">
        <f t="shared" si="58"/>
        <v>0.5173657672069698</v>
      </c>
      <c r="F237" s="412" t="e">
        <f t="shared" si="58"/>
        <v>#DIV/0!</v>
      </c>
      <c r="G237" s="412" t="e">
        <f t="shared" si="58"/>
        <v>#DIV/0!</v>
      </c>
      <c r="H237" s="412" t="e">
        <f t="shared" si="58"/>
        <v>#DIV/0!</v>
      </c>
      <c r="I237" s="412" t="e">
        <f t="shared" si="58"/>
        <v>#DIV/0!</v>
      </c>
      <c r="J237" s="412">
        <f t="shared" si="58"/>
        <v>0.9681689253072802</v>
      </c>
      <c r="K237" s="412" t="e">
        <f t="shared" si="58"/>
        <v>#DIV/0!</v>
      </c>
      <c r="L237" s="412">
        <f t="shared" si="58"/>
        <v>0.5487053020961775</v>
      </c>
      <c r="M237" s="422"/>
      <c r="N237" s="478"/>
      <c r="O237" s="478"/>
      <c r="P237" s="478"/>
    </row>
    <row r="238" spans="1:16" ht="27.75" customHeight="1" hidden="1">
      <c r="A238" s="1548" t="s">
        <v>498</v>
      </c>
      <c r="B238" s="1548"/>
      <c r="C238" s="406">
        <f>C221-C224-C225-C226</f>
        <v>0</v>
      </c>
      <c r="D238" s="406">
        <f aca="true" t="shared" si="59" ref="D238:L238">D221-D224-D225-D226</f>
        <v>0</v>
      </c>
      <c r="E238" s="406">
        <f t="shared" si="59"/>
        <v>0</v>
      </c>
      <c r="F238" s="406">
        <f t="shared" si="59"/>
        <v>0</v>
      </c>
      <c r="G238" s="406">
        <f t="shared" si="59"/>
        <v>0</v>
      </c>
      <c r="H238" s="406">
        <f t="shared" si="59"/>
        <v>0</v>
      </c>
      <c r="I238" s="406">
        <f t="shared" si="59"/>
        <v>0</v>
      </c>
      <c r="J238" s="406">
        <f t="shared" si="59"/>
        <v>0</v>
      </c>
      <c r="K238" s="406">
        <f t="shared" si="59"/>
        <v>0</v>
      </c>
      <c r="L238" s="406">
        <f t="shared" si="59"/>
        <v>0</v>
      </c>
      <c r="M238" s="422"/>
      <c r="N238" s="478"/>
      <c r="O238" s="478"/>
      <c r="P238" s="478"/>
    </row>
    <row r="239" spans="1:16" ht="17.25" hidden="1">
      <c r="A239" s="1549" t="s">
        <v>499</v>
      </c>
      <c r="B239" s="1549"/>
      <c r="C239" s="406">
        <f>C226-C227-C236</f>
        <v>0</v>
      </c>
      <c r="D239" s="406">
        <f aca="true" t="shared" si="60" ref="D239:L239">D226-D227-D236</f>
        <v>0</v>
      </c>
      <c r="E239" s="406">
        <f t="shared" si="60"/>
        <v>0</v>
      </c>
      <c r="F239" s="406">
        <f t="shared" si="60"/>
        <v>0</v>
      </c>
      <c r="G239" s="406">
        <f t="shared" si="60"/>
        <v>0</v>
      </c>
      <c r="H239" s="406">
        <f t="shared" si="60"/>
        <v>0</v>
      </c>
      <c r="I239" s="406">
        <f t="shared" si="60"/>
        <v>0</v>
      </c>
      <c r="J239" s="406">
        <f t="shared" si="60"/>
        <v>0</v>
      </c>
      <c r="K239" s="406">
        <f t="shared" si="60"/>
        <v>0</v>
      </c>
      <c r="L239" s="406">
        <f t="shared" si="60"/>
        <v>0</v>
      </c>
      <c r="M239" s="422"/>
      <c r="N239" s="478"/>
      <c r="O239" s="478"/>
      <c r="P239" s="478"/>
    </row>
    <row r="240" spans="1:16" ht="18.75" hidden="1">
      <c r="A240" s="463"/>
      <c r="B240" s="479" t="s">
        <v>518</v>
      </c>
      <c r="C240" s="479"/>
      <c r="D240" s="453"/>
      <c r="E240" s="453"/>
      <c r="F240" s="453"/>
      <c r="G240" s="1575" t="s">
        <v>518</v>
      </c>
      <c r="H240" s="1575"/>
      <c r="I240" s="1575"/>
      <c r="J240" s="1575"/>
      <c r="K240" s="1575"/>
      <c r="L240" s="1575"/>
      <c r="M240" s="466"/>
      <c r="N240" s="466"/>
      <c r="O240" s="466"/>
      <c r="P240" s="466"/>
    </row>
    <row r="241" spans="1:16" ht="18.75" hidden="1">
      <c r="A241" s="1576" t="s">
        <v>4</v>
      </c>
      <c r="B241" s="1576"/>
      <c r="C241" s="1576"/>
      <c r="D241" s="1576"/>
      <c r="E241" s="453"/>
      <c r="F241" s="453"/>
      <c r="G241" s="480"/>
      <c r="H241" s="1577" t="s">
        <v>519</v>
      </c>
      <c r="I241" s="1577"/>
      <c r="J241" s="1577"/>
      <c r="K241" s="1577"/>
      <c r="L241" s="1577"/>
      <c r="M241" s="466"/>
      <c r="N241" s="466"/>
      <c r="O241" s="466"/>
      <c r="P241" s="466"/>
    </row>
    <row r="242" ht="15" hidden="1"/>
    <row r="243" ht="15" hidden="1"/>
    <row r="244" ht="15" hidden="1"/>
    <row r="245" ht="98.25" customHeight="1" hidden="1"/>
    <row r="246" ht="15" hidden="1"/>
    <row r="247" ht="63.75" customHeight="1" hidden="1"/>
    <row r="248" ht="15" hidden="1"/>
    <row r="249" ht="15" hidden="1"/>
    <row r="250" spans="1:13" ht="16.5" hidden="1">
      <c r="A250" s="1560" t="s">
        <v>33</v>
      </c>
      <c r="B250" s="1561"/>
      <c r="C250" s="462"/>
      <c r="D250" s="1537" t="s">
        <v>79</v>
      </c>
      <c r="E250" s="1537"/>
      <c r="F250" s="1537"/>
      <c r="G250" s="1537"/>
      <c r="H250" s="1537"/>
      <c r="I250" s="1537"/>
      <c r="J250" s="1537"/>
      <c r="K250" s="1562"/>
      <c r="L250" s="1562"/>
      <c r="M250" s="466"/>
    </row>
    <row r="251" spans="1:13" ht="16.5" hidden="1">
      <c r="A251" s="1526" t="s">
        <v>342</v>
      </c>
      <c r="B251" s="1526"/>
      <c r="C251" s="1526"/>
      <c r="D251" s="1537" t="s">
        <v>216</v>
      </c>
      <c r="E251" s="1537"/>
      <c r="F251" s="1537"/>
      <c r="G251" s="1537"/>
      <c r="H251" s="1537"/>
      <c r="I251" s="1537"/>
      <c r="J251" s="1537"/>
      <c r="K251" s="1574" t="s">
        <v>510</v>
      </c>
      <c r="L251" s="1574"/>
      <c r="M251" s="463"/>
    </row>
    <row r="252" spans="1:13" ht="16.5" hidden="1">
      <c r="A252" s="1526" t="s">
        <v>343</v>
      </c>
      <c r="B252" s="1526"/>
      <c r="C252" s="413"/>
      <c r="D252" s="1541" t="s">
        <v>11</v>
      </c>
      <c r="E252" s="1541"/>
      <c r="F252" s="1541"/>
      <c r="G252" s="1541"/>
      <c r="H252" s="1541"/>
      <c r="I252" s="1541"/>
      <c r="J252" s="1541"/>
      <c r="K252" s="1562"/>
      <c r="L252" s="1562"/>
      <c r="M252" s="466"/>
    </row>
    <row r="253" spans="1:13" ht="15.75" hidden="1">
      <c r="A253" s="432" t="s">
        <v>119</v>
      </c>
      <c r="B253" s="432"/>
      <c r="C253" s="418"/>
      <c r="D253" s="467"/>
      <c r="E253" s="467"/>
      <c r="F253" s="468"/>
      <c r="G253" s="468"/>
      <c r="H253" s="468"/>
      <c r="I253" s="468"/>
      <c r="J253" s="468"/>
      <c r="K253" s="1578"/>
      <c r="L253" s="1578"/>
      <c r="M253" s="463"/>
    </row>
    <row r="254" spans="1:13" ht="15.75" hidden="1">
      <c r="A254" s="467"/>
      <c r="B254" s="467" t="s">
        <v>94</v>
      </c>
      <c r="C254" s="467"/>
      <c r="D254" s="467"/>
      <c r="E254" s="406">
        <v>122557</v>
      </c>
      <c r="F254" s="406"/>
      <c r="G254" s="406">
        <v>181987</v>
      </c>
      <c r="H254" s="406"/>
      <c r="I254" s="406">
        <v>16298</v>
      </c>
      <c r="J254" s="406"/>
      <c r="K254" s="406">
        <v>251785</v>
      </c>
      <c r="L254" s="406"/>
      <c r="M254" s="463"/>
    </row>
    <row r="255" spans="1:13" ht="15.75" hidden="1">
      <c r="A255" s="1256" t="s">
        <v>71</v>
      </c>
      <c r="B255" s="1257"/>
      <c r="C255" s="1542" t="s">
        <v>38</v>
      </c>
      <c r="D255" s="1564" t="s">
        <v>339</v>
      </c>
      <c r="E255" s="1564"/>
      <c r="F255" s="1564"/>
      <c r="G255" s="1564"/>
      <c r="H255" s="1564"/>
      <c r="I255" s="1564"/>
      <c r="J255" s="1564"/>
      <c r="K255" s="1564"/>
      <c r="L255" s="1564"/>
      <c r="M255" s="466"/>
    </row>
    <row r="256" spans="1:13" ht="15.75" hidden="1">
      <c r="A256" s="1258"/>
      <c r="B256" s="1259"/>
      <c r="C256" s="1542"/>
      <c r="D256" s="1579" t="s">
        <v>207</v>
      </c>
      <c r="E256" s="1580"/>
      <c r="F256" s="1580"/>
      <c r="G256" s="1580"/>
      <c r="H256" s="1580"/>
      <c r="I256" s="1580"/>
      <c r="J256" s="1581"/>
      <c r="K256" s="1582" t="s">
        <v>208</v>
      </c>
      <c r="L256" s="1582" t="s">
        <v>209</v>
      </c>
      <c r="M256" s="463"/>
    </row>
    <row r="257" spans="1:13" ht="15.75" hidden="1">
      <c r="A257" s="1258"/>
      <c r="B257" s="1259"/>
      <c r="C257" s="1542"/>
      <c r="D257" s="1587" t="s">
        <v>37</v>
      </c>
      <c r="E257" s="1588" t="s">
        <v>7</v>
      </c>
      <c r="F257" s="1589"/>
      <c r="G257" s="1589"/>
      <c r="H257" s="1589"/>
      <c r="I257" s="1589"/>
      <c r="J257" s="1590"/>
      <c r="K257" s="1583"/>
      <c r="L257" s="1585"/>
      <c r="M257" s="463"/>
    </row>
    <row r="258" spans="1:16" ht="15.75" hidden="1">
      <c r="A258" s="1546"/>
      <c r="B258" s="1547"/>
      <c r="C258" s="1542"/>
      <c r="D258" s="1587"/>
      <c r="E258" s="469" t="s">
        <v>210</v>
      </c>
      <c r="F258" s="469" t="s">
        <v>211</v>
      </c>
      <c r="G258" s="469" t="s">
        <v>212</v>
      </c>
      <c r="H258" s="469" t="s">
        <v>213</v>
      </c>
      <c r="I258" s="469" t="s">
        <v>344</v>
      </c>
      <c r="J258" s="469" t="s">
        <v>214</v>
      </c>
      <c r="K258" s="1584"/>
      <c r="L258" s="1586"/>
      <c r="M258" s="1540" t="s">
        <v>500</v>
      </c>
      <c r="N258" s="1540"/>
      <c r="O258" s="1540"/>
      <c r="P258" s="1540"/>
    </row>
    <row r="259" spans="1:16" ht="15" hidden="1">
      <c r="A259" s="1544" t="s">
        <v>6</v>
      </c>
      <c r="B259" s="1545"/>
      <c r="C259" s="470">
        <v>1</v>
      </c>
      <c r="D259" s="471">
        <v>2</v>
      </c>
      <c r="E259" s="470">
        <v>3</v>
      </c>
      <c r="F259" s="471">
        <v>4</v>
      </c>
      <c r="G259" s="470">
        <v>5</v>
      </c>
      <c r="H259" s="471">
        <v>6</v>
      </c>
      <c r="I259" s="470">
        <v>7</v>
      </c>
      <c r="J259" s="471">
        <v>8</v>
      </c>
      <c r="K259" s="470">
        <v>9</v>
      </c>
      <c r="L259" s="471">
        <v>10</v>
      </c>
      <c r="M259" s="472" t="s">
        <v>501</v>
      </c>
      <c r="N259" s="473" t="s">
        <v>504</v>
      </c>
      <c r="O259" s="473" t="s">
        <v>502</v>
      </c>
      <c r="P259" s="473" t="s">
        <v>503</v>
      </c>
    </row>
    <row r="260" spans="1:16" ht="24.75" customHeight="1" hidden="1">
      <c r="A260" s="425" t="s">
        <v>0</v>
      </c>
      <c r="B260" s="426" t="s">
        <v>131</v>
      </c>
      <c r="C260" s="404">
        <f>C261+C262</f>
        <v>14401463.6</v>
      </c>
      <c r="D260" s="404">
        <f aca="true" t="shared" si="61" ref="D260:L260">D261+D262</f>
        <v>614882.6</v>
      </c>
      <c r="E260" s="404">
        <f t="shared" si="61"/>
        <v>234185.6</v>
      </c>
      <c r="F260" s="404">
        <f t="shared" si="61"/>
        <v>0</v>
      </c>
      <c r="G260" s="404">
        <f t="shared" si="61"/>
        <v>184987</v>
      </c>
      <c r="H260" s="404">
        <f t="shared" si="61"/>
        <v>34168</v>
      </c>
      <c r="I260" s="404">
        <f t="shared" si="61"/>
        <v>10894</v>
      </c>
      <c r="J260" s="404">
        <f t="shared" si="61"/>
        <v>150648</v>
      </c>
      <c r="K260" s="404">
        <f t="shared" si="61"/>
        <v>13573329</v>
      </c>
      <c r="L260" s="404">
        <f t="shared" si="61"/>
        <v>213252</v>
      </c>
      <c r="M260" s="404" t="e">
        <f>'03'!#REF!+'04'!#REF!</f>
        <v>#REF!</v>
      </c>
      <c r="N260" s="404" t="e">
        <f>C260-M260</f>
        <v>#REF!</v>
      </c>
      <c r="O260" s="404" t="e">
        <f>'07'!#REF!</f>
        <v>#REF!</v>
      </c>
      <c r="P260" s="404" t="e">
        <f>C260-O260</f>
        <v>#REF!</v>
      </c>
    </row>
    <row r="261" spans="1:16" ht="24.75" customHeight="1" hidden="1">
      <c r="A261" s="428">
        <v>1</v>
      </c>
      <c r="B261" s="429" t="s">
        <v>132</v>
      </c>
      <c r="C261" s="404">
        <f>D261+K261+L261</f>
        <v>572626.6</v>
      </c>
      <c r="D261" s="404">
        <f>E261+F261+G261+H261+I261+J261</f>
        <v>320841.6</v>
      </c>
      <c r="E261" s="406">
        <v>117866.6</v>
      </c>
      <c r="F261" s="406">
        <v>0</v>
      </c>
      <c r="G261" s="406">
        <v>181987</v>
      </c>
      <c r="H261" s="406">
        <v>15098</v>
      </c>
      <c r="I261" s="406">
        <v>5890</v>
      </c>
      <c r="J261" s="406">
        <v>0</v>
      </c>
      <c r="K261" s="406">
        <v>197579</v>
      </c>
      <c r="L261" s="406">
        <v>54206</v>
      </c>
      <c r="M261" s="406" t="e">
        <f>'03'!#REF!+'04'!#REF!</f>
        <v>#REF!</v>
      </c>
      <c r="N261" s="406" t="e">
        <f aca="true" t="shared" si="62" ref="N261:N275">C261-M261</f>
        <v>#REF!</v>
      </c>
      <c r="O261" s="406" t="e">
        <f>'07'!#REF!</f>
        <v>#REF!</v>
      </c>
      <c r="P261" s="406" t="e">
        <f aca="true" t="shared" si="63" ref="P261:P275">C261-O261</f>
        <v>#REF!</v>
      </c>
    </row>
    <row r="262" spans="1:16" ht="24.75" customHeight="1" hidden="1">
      <c r="A262" s="428">
        <v>2</v>
      </c>
      <c r="B262" s="429" t="s">
        <v>133</v>
      </c>
      <c r="C262" s="404">
        <f>D262+K262+L262</f>
        <v>13828837</v>
      </c>
      <c r="D262" s="404">
        <f>E262+F262+G262+H262+I262+J262</f>
        <v>294041</v>
      </c>
      <c r="E262" s="406">
        <v>116319</v>
      </c>
      <c r="F262" s="406">
        <v>0</v>
      </c>
      <c r="G262" s="406">
        <v>3000</v>
      </c>
      <c r="H262" s="406">
        <v>19070</v>
      </c>
      <c r="I262" s="406">
        <v>5004</v>
      </c>
      <c r="J262" s="406">
        <v>150648</v>
      </c>
      <c r="K262" s="406">
        <v>13375750</v>
      </c>
      <c r="L262" s="406">
        <v>159046</v>
      </c>
      <c r="M262" s="406" t="e">
        <f>'03'!#REF!+'04'!#REF!</f>
        <v>#REF!</v>
      </c>
      <c r="N262" s="406" t="e">
        <f t="shared" si="62"/>
        <v>#REF!</v>
      </c>
      <c r="O262" s="406" t="e">
        <f>'07'!#REF!</f>
        <v>#REF!</v>
      </c>
      <c r="P262" s="406" t="e">
        <f t="shared" si="63"/>
        <v>#REF!</v>
      </c>
    </row>
    <row r="263" spans="1:16" ht="24.75" customHeight="1" hidden="1">
      <c r="A263" s="394" t="s">
        <v>1</v>
      </c>
      <c r="B263" s="395" t="s">
        <v>134</v>
      </c>
      <c r="C263" s="404">
        <f>D263+K263+L263</f>
        <v>0</v>
      </c>
      <c r="D263" s="404">
        <f>E263+F263+G263+H263+I263+J263</f>
        <v>0</v>
      </c>
      <c r="E263" s="406">
        <v>0</v>
      </c>
      <c r="F263" s="406">
        <v>0</v>
      </c>
      <c r="G263" s="406">
        <v>0</v>
      </c>
      <c r="H263" s="406">
        <v>0</v>
      </c>
      <c r="I263" s="406">
        <v>0</v>
      </c>
      <c r="J263" s="406">
        <v>0</v>
      </c>
      <c r="K263" s="406">
        <v>0</v>
      </c>
      <c r="L263" s="406">
        <v>0</v>
      </c>
      <c r="M263" s="406" t="e">
        <f>'03'!#REF!+'04'!#REF!</f>
        <v>#REF!</v>
      </c>
      <c r="N263" s="406" t="e">
        <f t="shared" si="62"/>
        <v>#REF!</v>
      </c>
      <c r="O263" s="406" t="e">
        <f>'07'!#REF!</f>
        <v>#REF!</v>
      </c>
      <c r="P263" s="406" t="e">
        <f t="shared" si="63"/>
        <v>#REF!</v>
      </c>
    </row>
    <row r="264" spans="1:16" ht="24.75" customHeight="1" hidden="1">
      <c r="A264" s="394" t="s">
        <v>9</v>
      </c>
      <c r="B264" s="395" t="s">
        <v>135</v>
      </c>
      <c r="C264" s="404">
        <f>D264+K264+L264</f>
        <v>0</v>
      </c>
      <c r="D264" s="404">
        <f>E264+F264+G264+H264+I264+J264</f>
        <v>0</v>
      </c>
      <c r="E264" s="406">
        <v>0</v>
      </c>
      <c r="F264" s="406">
        <v>0</v>
      </c>
      <c r="G264" s="406">
        <v>0</v>
      </c>
      <c r="H264" s="406">
        <v>0</v>
      </c>
      <c r="I264" s="406">
        <v>0</v>
      </c>
      <c r="J264" s="406">
        <v>0</v>
      </c>
      <c r="K264" s="406">
        <v>0</v>
      </c>
      <c r="L264" s="406">
        <v>0</v>
      </c>
      <c r="M264" s="406" t="e">
        <f>'03'!#REF!+'04'!#REF!</f>
        <v>#REF!</v>
      </c>
      <c r="N264" s="406" t="e">
        <f t="shared" si="62"/>
        <v>#REF!</v>
      </c>
      <c r="O264" s="406" t="e">
        <f>'07'!#REF!</f>
        <v>#REF!</v>
      </c>
      <c r="P264" s="406" t="e">
        <f t="shared" si="63"/>
        <v>#REF!</v>
      </c>
    </row>
    <row r="265" spans="1:16" ht="24.75" customHeight="1" hidden="1">
      <c r="A265" s="394" t="s">
        <v>136</v>
      </c>
      <c r="B265" s="395" t="s">
        <v>137</v>
      </c>
      <c r="C265" s="404">
        <f>C266+C275</f>
        <v>14401463.6</v>
      </c>
      <c r="D265" s="404">
        <f aca="true" t="shared" si="64" ref="D265:L265">D266+D275</f>
        <v>614882.6</v>
      </c>
      <c r="E265" s="404">
        <f t="shared" si="64"/>
        <v>234185.6</v>
      </c>
      <c r="F265" s="404">
        <f t="shared" si="64"/>
        <v>0</v>
      </c>
      <c r="G265" s="404">
        <f t="shared" si="64"/>
        <v>184987</v>
      </c>
      <c r="H265" s="404">
        <f t="shared" si="64"/>
        <v>34168</v>
      </c>
      <c r="I265" s="404">
        <f t="shared" si="64"/>
        <v>10894</v>
      </c>
      <c r="J265" s="404">
        <f t="shared" si="64"/>
        <v>150648</v>
      </c>
      <c r="K265" s="404">
        <f t="shared" si="64"/>
        <v>13573329</v>
      </c>
      <c r="L265" s="404">
        <f t="shared" si="64"/>
        <v>213252</v>
      </c>
      <c r="M265" s="404" t="e">
        <f>'03'!#REF!+'04'!#REF!</f>
        <v>#REF!</v>
      </c>
      <c r="N265" s="404" t="e">
        <f t="shared" si="62"/>
        <v>#REF!</v>
      </c>
      <c r="O265" s="404" t="e">
        <f>'07'!#REF!</f>
        <v>#REF!</v>
      </c>
      <c r="P265" s="404" t="e">
        <f t="shared" si="63"/>
        <v>#REF!</v>
      </c>
    </row>
    <row r="266" spans="1:16" ht="24.75" customHeight="1" hidden="1">
      <c r="A266" s="394" t="s">
        <v>52</v>
      </c>
      <c r="B266" s="430" t="s">
        <v>138</v>
      </c>
      <c r="C266" s="404">
        <f>SUM(C267:C274)</f>
        <v>14089737</v>
      </c>
      <c r="D266" s="404">
        <f aca="true" t="shared" si="65" ref="D266:L266">SUM(D267:D274)</f>
        <v>303156</v>
      </c>
      <c r="E266" s="404">
        <f t="shared" si="65"/>
        <v>125434</v>
      </c>
      <c r="F266" s="404">
        <f t="shared" si="65"/>
        <v>0</v>
      </c>
      <c r="G266" s="404">
        <f t="shared" si="65"/>
        <v>3000</v>
      </c>
      <c r="H266" s="404">
        <f t="shared" si="65"/>
        <v>19070</v>
      </c>
      <c r="I266" s="404">
        <f t="shared" si="65"/>
        <v>5004</v>
      </c>
      <c r="J266" s="404">
        <f t="shared" si="65"/>
        <v>150648</v>
      </c>
      <c r="K266" s="404">
        <f t="shared" si="65"/>
        <v>13573329</v>
      </c>
      <c r="L266" s="404">
        <f t="shared" si="65"/>
        <v>213252</v>
      </c>
      <c r="M266" s="404" t="e">
        <f>'03'!#REF!+'04'!#REF!</f>
        <v>#REF!</v>
      </c>
      <c r="N266" s="404" t="e">
        <f t="shared" si="62"/>
        <v>#REF!</v>
      </c>
      <c r="O266" s="404" t="e">
        <f>'07'!#REF!</f>
        <v>#REF!</v>
      </c>
      <c r="P266" s="404" t="e">
        <f t="shared" si="63"/>
        <v>#REF!</v>
      </c>
    </row>
    <row r="267" spans="1:16" ht="24.75" customHeight="1" hidden="1">
      <c r="A267" s="428" t="s">
        <v>54</v>
      </c>
      <c r="B267" s="429" t="s">
        <v>139</v>
      </c>
      <c r="C267" s="404">
        <f aca="true" t="shared" si="66" ref="C267:C275">D267+K267+L267</f>
        <v>185401</v>
      </c>
      <c r="D267" s="404">
        <f aca="true" t="shared" si="67" ref="D267:D275">E267+F267+G267+H267+I267+J267</f>
        <v>142000</v>
      </c>
      <c r="E267" s="406">
        <v>10002</v>
      </c>
      <c r="F267" s="406">
        <v>0</v>
      </c>
      <c r="G267" s="406">
        <v>0</v>
      </c>
      <c r="H267" s="406">
        <v>1500</v>
      </c>
      <c r="I267" s="406">
        <v>5004</v>
      </c>
      <c r="J267" s="406">
        <v>125494</v>
      </c>
      <c r="K267" s="406">
        <v>35000</v>
      </c>
      <c r="L267" s="406">
        <v>8401</v>
      </c>
      <c r="M267" s="406" t="e">
        <f>'03'!#REF!+'04'!#REF!</f>
        <v>#REF!</v>
      </c>
      <c r="N267" s="406" t="e">
        <f t="shared" si="62"/>
        <v>#REF!</v>
      </c>
      <c r="O267" s="406" t="e">
        <f>'07'!#REF!</f>
        <v>#REF!</v>
      </c>
      <c r="P267" s="406" t="e">
        <f t="shared" si="63"/>
        <v>#REF!</v>
      </c>
    </row>
    <row r="268" spans="1:16" ht="24.75" customHeight="1" hidden="1">
      <c r="A268" s="428" t="s">
        <v>55</v>
      </c>
      <c r="B268" s="429" t="s">
        <v>140</v>
      </c>
      <c r="C268" s="404">
        <f t="shared" si="66"/>
        <v>0</v>
      </c>
      <c r="D268" s="404">
        <f>E268+F268+G268+H268+I268+J268</f>
        <v>0</v>
      </c>
      <c r="E268" s="406">
        <v>0</v>
      </c>
      <c r="F268" s="406">
        <v>0</v>
      </c>
      <c r="G268" s="406">
        <v>0</v>
      </c>
      <c r="H268" s="406">
        <v>0</v>
      </c>
      <c r="I268" s="406">
        <v>0</v>
      </c>
      <c r="J268" s="406">
        <v>0</v>
      </c>
      <c r="K268" s="406">
        <v>0</v>
      </c>
      <c r="L268" s="406">
        <v>0</v>
      </c>
      <c r="M268" s="406" t="e">
        <f>'03'!#REF!+'04'!#REF!</f>
        <v>#REF!</v>
      </c>
      <c r="N268" s="406" t="e">
        <f t="shared" si="62"/>
        <v>#REF!</v>
      </c>
      <c r="O268" s="406" t="e">
        <f>'07'!#REF!</f>
        <v>#REF!</v>
      </c>
      <c r="P268" s="406" t="e">
        <f t="shared" si="63"/>
        <v>#REF!</v>
      </c>
    </row>
    <row r="269" spans="1:16" ht="24.75" customHeight="1" hidden="1">
      <c r="A269" s="428" t="s">
        <v>141</v>
      </c>
      <c r="B269" s="429" t="s">
        <v>202</v>
      </c>
      <c r="C269" s="404">
        <f t="shared" si="66"/>
        <v>0</v>
      </c>
      <c r="D269" s="404">
        <f t="shared" si="67"/>
        <v>0</v>
      </c>
      <c r="E269" s="406">
        <v>0</v>
      </c>
      <c r="F269" s="406">
        <v>0</v>
      </c>
      <c r="G269" s="406">
        <v>0</v>
      </c>
      <c r="H269" s="406">
        <v>0</v>
      </c>
      <c r="I269" s="406">
        <v>0</v>
      </c>
      <c r="J269" s="406">
        <v>0</v>
      </c>
      <c r="K269" s="406">
        <v>0</v>
      </c>
      <c r="L269" s="406">
        <v>0</v>
      </c>
      <c r="M269" s="406" t="e">
        <f>'03'!#REF!</f>
        <v>#REF!</v>
      </c>
      <c r="N269" s="406" t="e">
        <f t="shared" si="62"/>
        <v>#REF!</v>
      </c>
      <c r="O269" s="406" t="e">
        <f>'07'!#REF!</f>
        <v>#REF!</v>
      </c>
      <c r="P269" s="406" t="e">
        <f t="shared" si="63"/>
        <v>#REF!</v>
      </c>
    </row>
    <row r="270" spans="1:16" ht="24.75" customHeight="1" hidden="1">
      <c r="A270" s="428" t="s">
        <v>143</v>
      </c>
      <c r="B270" s="429" t="s">
        <v>142</v>
      </c>
      <c r="C270" s="404">
        <f t="shared" si="66"/>
        <v>13859195</v>
      </c>
      <c r="D270" s="404">
        <f t="shared" si="67"/>
        <v>161156</v>
      </c>
      <c r="E270" s="406">
        <v>115432</v>
      </c>
      <c r="F270" s="406">
        <v>0</v>
      </c>
      <c r="G270" s="406">
        <v>3000</v>
      </c>
      <c r="H270" s="406">
        <v>17570</v>
      </c>
      <c r="I270" s="406">
        <v>0</v>
      </c>
      <c r="J270" s="406">
        <v>25154</v>
      </c>
      <c r="K270" s="406">
        <v>13538329</v>
      </c>
      <c r="L270" s="406">
        <v>159710</v>
      </c>
      <c r="M270" s="406" t="e">
        <f>'03'!#REF!+'04'!#REF!</f>
        <v>#REF!</v>
      </c>
      <c r="N270" s="406" t="e">
        <f t="shared" si="62"/>
        <v>#REF!</v>
      </c>
      <c r="O270" s="406" t="e">
        <f>'07'!#REF!</f>
        <v>#REF!</v>
      </c>
      <c r="P270" s="406" t="e">
        <f t="shared" si="63"/>
        <v>#REF!</v>
      </c>
    </row>
    <row r="271" spans="1:16" ht="24.75" customHeight="1" hidden="1">
      <c r="A271" s="428" t="s">
        <v>145</v>
      </c>
      <c r="B271" s="429" t="s">
        <v>144</v>
      </c>
      <c r="C271" s="404">
        <f t="shared" si="66"/>
        <v>0</v>
      </c>
      <c r="D271" s="404">
        <f t="shared" si="67"/>
        <v>0</v>
      </c>
      <c r="E271" s="406">
        <v>0</v>
      </c>
      <c r="F271" s="406">
        <v>0</v>
      </c>
      <c r="G271" s="406">
        <v>0</v>
      </c>
      <c r="H271" s="406">
        <v>0</v>
      </c>
      <c r="I271" s="406">
        <v>0</v>
      </c>
      <c r="J271" s="406">
        <v>0</v>
      </c>
      <c r="K271" s="406">
        <v>0</v>
      </c>
      <c r="L271" s="406">
        <v>0</v>
      </c>
      <c r="M271" s="406" t="e">
        <f>'03'!#REF!+'04'!#REF!</f>
        <v>#REF!</v>
      </c>
      <c r="N271" s="406" t="e">
        <f t="shared" si="62"/>
        <v>#REF!</v>
      </c>
      <c r="O271" s="406" t="e">
        <f>'07'!#REF!</f>
        <v>#REF!</v>
      </c>
      <c r="P271" s="406" t="e">
        <f t="shared" si="63"/>
        <v>#REF!</v>
      </c>
    </row>
    <row r="272" spans="1:16" ht="24.75" customHeight="1" hidden="1">
      <c r="A272" s="428" t="s">
        <v>147</v>
      </c>
      <c r="B272" s="429" t="s">
        <v>146</v>
      </c>
      <c r="C272" s="404">
        <f t="shared" si="66"/>
        <v>0</v>
      </c>
      <c r="D272" s="404">
        <f t="shared" si="67"/>
        <v>0</v>
      </c>
      <c r="E272" s="406">
        <v>0</v>
      </c>
      <c r="F272" s="406">
        <v>0</v>
      </c>
      <c r="G272" s="406">
        <v>0</v>
      </c>
      <c r="H272" s="406">
        <v>0</v>
      </c>
      <c r="I272" s="406">
        <v>0</v>
      </c>
      <c r="J272" s="406">
        <v>0</v>
      </c>
      <c r="K272" s="406">
        <v>0</v>
      </c>
      <c r="L272" s="406">
        <v>0</v>
      </c>
      <c r="M272" s="406" t="e">
        <f>'03'!#REF!+'04'!#REF!</f>
        <v>#REF!</v>
      </c>
      <c r="N272" s="406" t="e">
        <f t="shared" si="62"/>
        <v>#REF!</v>
      </c>
      <c r="O272" s="406" t="e">
        <f>'07'!#REF!</f>
        <v>#REF!</v>
      </c>
      <c r="P272" s="406" t="e">
        <f t="shared" si="63"/>
        <v>#REF!</v>
      </c>
    </row>
    <row r="273" spans="1:16" ht="24.75" customHeight="1" hidden="1">
      <c r="A273" s="428" t="s">
        <v>149</v>
      </c>
      <c r="B273" s="431" t="s">
        <v>148</v>
      </c>
      <c r="C273" s="404">
        <f t="shared" si="66"/>
        <v>0</v>
      </c>
      <c r="D273" s="404">
        <f t="shared" si="67"/>
        <v>0</v>
      </c>
      <c r="E273" s="406">
        <v>0</v>
      </c>
      <c r="F273" s="406">
        <v>0</v>
      </c>
      <c r="G273" s="406">
        <v>0</v>
      </c>
      <c r="H273" s="406">
        <v>0</v>
      </c>
      <c r="I273" s="406">
        <v>0</v>
      </c>
      <c r="J273" s="406">
        <v>0</v>
      </c>
      <c r="K273" s="406">
        <v>0</v>
      </c>
      <c r="L273" s="406">
        <v>0</v>
      </c>
      <c r="M273" s="406" t="e">
        <f>'03'!#REF!+'04'!#REF!</f>
        <v>#REF!</v>
      </c>
      <c r="N273" s="406" t="e">
        <f t="shared" si="62"/>
        <v>#REF!</v>
      </c>
      <c r="O273" s="406" t="e">
        <f>'07'!#REF!</f>
        <v>#REF!</v>
      </c>
      <c r="P273" s="406" t="e">
        <f t="shared" si="63"/>
        <v>#REF!</v>
      </c>
    </row>
    <row r="274" spans="1:16" ht="24.75" customHeight="1" hidden="1">
      <c r="A274" s="428" t="s">
        <v>186</v>
      </c>
      <c r="B274" s="429" t="s">
        <v>150</v>
      </c>
      <c r="C274" s="404">
        <f t="shared" si="66"/>
        <v>45141</v>
      </c>
      <c r="D274" s="404">
        <f t="shared" si="67"/>
        <v>0</v>
      </c>
      <c r="E274" s="406">
        <v>0</v>
      </c>
      <c r="F274" s="406">
        <v>0</v>
      </c>
      <c r="G274" s="406">
        <v>0</v>
      </c>
      <c r="H274" s="406">
        <v>0</v>
      </c>
      <c r="I274" s="406">
        <v>0</v>
      </c>
      <c r="J274" s="406">
        <v>0</v>
      </c>
      <c r="K274" s="406">
        <v>0</v>
      </c>
      <c r="L274" s="406">
        <v>45141</v>
      </c>
      <c r="M274" s="406" t="e">
        <f>'03'!#REF!+'04'!#REF!</f>
        <v>#REF!</v>
      </c>
      <c r="N274" s="406" t="e">
        <f t="shared" si="62"/>
        <v>#REF!</v>
      </c>
      <c r="O274" s="406" t="e">
        <f>'07'!#REF!</f>
        <v>#REF!</v>
      </c>
      <c r="P274" s="406" t="e">
        <f t="shared" si="63"/>
        <v>#REF!</v>
      </c>
    </row>
    <row r="275" spans="1:16" ht="24.75" customHeight="1" hidden="1">
      <c r="A275" s="394" t="s">
        <v>53</v>
      </c>
      <c r="B275" s="395" t="s">
        <v>151</v>
      </c>
      <c r="C275" s="404">
        <f t="shared" si="66"/>
        <v>311726.6</v>
      </c>
      <c r="D275" s="404">
        <f t="shared" si="67"/>
        <v>311726.6</v>
      </c>
      <c r="E275" s="406">
        <v>108751.6</v>
      </c>
      <c r="F275" s="406">
        <v>0</v>
      </c>
      <c r="G275" s="406">
        <v>181987</v>
      </c>
      <c r="H275" s="406">
        <v>15098</v>
      </c>
      <c r="I275" s="406">
        <v>5890</v>
      </c>
      <c r="J275" s="406">
        <v>0</v>
      </c>
      <c r="K275" s="406">
        <v>0</v>
      </c>
      <c r="L275" s="406">
        <v>0</v>
      </c>
      <c r="M275" s="404" t="e">
        <f>'03'!#REF!+'04'!#REF!</f>
        <v>#REF!</v>
      </c>
      <c r="N275" s="404" t="e">
        <f t="shared" si="62"/>
        <v>#REF!</v>
      </c>
      <c r="O275" s="404" t="e">
        <f>'07'!#REF!</f>
        <v>#REF!</v>
      </c>
      <c r="P275" s="404" t="e">
        <f t="shared" si="63"/>
        <v>#REF!</v>
      </c>
    </row>
    <row r="276" spans="1:16" ht="24.75" customHeight="1" hidden="1">
      <c r="A276" s="452" t="s">
        <v>76</v>
      </c>
      <c r="B276" s="477" t="s">
        <v>215</v>
      </c>
      <c r="C276" s="461">
        <f>(C267+C268+C269)/C266</f>
        <v>0.013158584862158889</v>
      </c>
      <c r="D276" s="396">
        <f aca="true" t="shared" si="68" ref="D276:L276">(D267+D268+D269)/D266</f>
        <v>0.468405705313436</v>
      </c>
      <c r="E276" s="412">
        <f t="shared" si="68"/>
        <v>0.0797391456861776</v>
      </c>
      <c r="F276" s="412" t="e">
        <f t="shared" si="68"/>
        <v>#DIV/0!</v>
      </c>
      <c r="G276" s="412">
        <f t="shared" si="68"/>
        <v>0</v>
      </c>
      <c r="H276" s="412">
        <f t="shared" si="68"/>
        <v>0.07865757734661773</v>
      </c>
      <c r="I276" s="412">
        <f t="shared" si="68"/>
        <v>1</v>
      </c>
      <c r="J276" s="412">
        <f t="shared" si="68"/>
        <v>0.8330279857681483</v>
      </c>
      <c r="K276" s="412">
        <f t="shared" si="68"/>
        <v>0.002578586284912124</v>
      </c>
      <c r="L276" s="412">
        <f t="shared" si="68"/>
        <v>0.03939470673194155</v>
      </c>
      <c r="M276" s="422"/>
      <c r="N276" s="478"/>
      <c r="O276" s="478"/>
      <c r="P276" s="478"/>
    </row>
    <row r="277" spans="1:16" ht="17.25" hidden="1">
      <c r="A277" s="1548" t="s">
        <v>498</v>
      </c>
      <c r="B277" s="1548"/>
      <c r="C277" s="406">
        <f>C260-C263-C264-C265</f>
        <v>0</v>
      </c>
      <c r="D277" s="406">
        <f aca="true" t="shared" si="69" ref="D277:L277">D260-D263-D264-D265</f>
        <v>0</v>
      </c>
      <c r="E277" s="406">
        <f t="shared" si="69"/>
        <v>0</v>
      </c>
      <c r="F277" s="406">
        <f t="shared" si="69"/>
        <v>0</v>
      </c>
      <c r="G277" s="406">
        <f t="shared" si="69"/>
        <v>0</v>
      </c>
      <c r="H277" s="406">
        <f t="shared" si="69"/>
        <v>0</v>
      </c>
      <c r="I277" s="406">
        <f t="shared" si="69"/>
        <v>0</v>
      </c>
      <c r="J277" s="406">
        <f t="shared" si="69"/>
        <v>0</v>
      </c>
      <c r="K277" s="406">
        <f t="shared" si="69"/>
        <v>0</v>
      </c>
      <c r="L277" s="406">
        <f t="shared" si="69"/>
        <v>0</v>
      </c>
      <c r="M277" s="422"/>
      <c r="N277" s="478"/>
      <c r="O277" s="478"/>
      <c r="P277" s="478"/>
    </row>
    <row r="278" spans="1:16" ht="17.25" hidden="1">
      <c r="A278" s="1549" t="s">
        <v>499</v>
      </c>
      <c r="B278" s="1549"/>
      <c r="C278" s="406">
        <f>C265-C266-C275</f>
        <v>0</v>
      </c>
      <c r="D278" s="406">
        <f aca="true" t="shared" si="70" ref="D278:L278">D265-D266-D275</f>
        <v>0</v>
      </c>
      <c r="E278" s="406">
        <f t="shared" si="70"/>
        <v>0</v>
      </c>
      <c r="F278" s="406">
        <f t="shared" si="70"/>
        <v>0</v>
      </c>
      <c r="G278" s="406">
        <f t="shared" si="70"/>
        <v>0</v>
      </c>
      <c r="H278" s="406">
        <f t="shared" si="70"/>
        <v>0</v>
      </c>
      <c r="I278" s="406">
        <f t="shared" si="70"/>
        <v>0</v>
      </c>
      <c r="J278" s="406">
        <f t="shared" si="70"/>
        <v>0</v>
      </c>
      <c r="K278" s="406">
        <f t="shared" si="70"/>
        <v>0</v>
      </c>
      <c r="L278" s="406">
        <f t="shared" si="70"/>
        <v>0</v>
      </c>
      <c r="M278" s="422"/>
      <c r="N278" s="478"/>
      <c r="O278" s="478"/>
      <c r="P278" s="478"/>
    </row>
    <row r="279" spans="1:16" ht="18.75" hidden="1">
      <c r="A279" s="463"/>
      <c r="B279" s="479" t="s">
        <v>518</v>
      </c>
      <c r="C279" s="479"/>
      <c r="D279" s="453"/>
      <c r="E279" s="453"/>
      <c r="F279" s="453"/>
      <c r="G279" s="1575" t="s">
        <v>518</v>
      </c>
      <c r="H279" s="1575"/>
      <c r="I279" s="1575"/>
      <c r="J279" s="1575"/>
      <c r="K279" s="1575"/>
      <c r="L279" s="1575"/>
      <c r="M279" s="466"/>
      <c r="N279" s="466"/>
      <c r="O279" s="466"/>
      <c r="P279" s="466"/>
    </row>
    <row r="280" spans="1:16" ht="18.75" hidden="1">
      <c r="A280" s="1576" t="s">
        <v>4</v>
      </c>
      <c r="B280" s="1576"/>
      <c r="C280" s="1576"/>
      <c r="D280" s="1576"/>
      <c r="E280" s="453"/>
      <c r="F280" s="453"/>
      <c r="G280" s="480"/>
      <c r="H280" s="1577" t="s">
        <v>519</v>
      </c>
      <c r="I280" s="1577"/>
      <c r="J280" s="1577"/>
      <c r="K280" s="1577"/>
      <c r="L280" s="1577"/>
      <c r="M280" s="466"/>
      <c r="N280" s="466"/>
      <c r="O280" s="466"/>
      <c r="P280" s="466"/>
    </row>
    <row r="281" ht="15" hidden="1"/>
    <row r="282" ht="15" hidden="1"/>
    <row r="283" ht="15" hidden="1"/>
    <row r="284" ht="15" hidden="1"/>
    <row r="285" ht="15" hidden="1"/>
    <row r="286" ht="15" hidden="1"/>
    <row r="287" ht="15" hidden="1"/>
    <row r="288" ht="15" hidden="1"/>
    <row r="289" ht="15" hidden="1"/>
    <row r="290" ht="15" hidden="1"/>
    <row r="291" ht="15" hidden="1"/>
    <row r="292" spans="1:13" ht="16.5" hidden="1">
      <c r="A292" s="1560" t="s">
        <v>33</v>
      </c>
      <c r="B292" s="1561"/>
      <c r="C292" s="462"/>
      <c r="D292" s="1537" t="s">
        <v>79</v>
      </c>
      <c r="E292" s="1537"/>
      <c r="F292" s="1537"/>
      <c r="G292" s="1537"/>
      <c r="H292" s="1537"/>
      <c r="I292" s="1537"/>
      <c r="J292" s="1537"/>
      <c r="K292" s="1562"/>
      <c r="L292" s="1562"/>
      <c r="M292" s="466"/>
    </row>
    <row r="293" spans="1:13" ht="16.5" hidden="1">
      <c r="A293" s="1526" t="s">
        <v>342</v>
      </c>
      <c r="B293" s="1526"/>
      <c r="C293" s="1526"/>
      <c r="D293" s="1537" t="s">
        <v>216</v>
      </c>
      <c r="E293" s="1537"/>
      <c r="F293" s="1537"/>
      <c r="G293" s="1537"/>
      <c r="H293" s="1537"/>
      <c r="I293" s="1537"/>
      <c r="J293" s="1537"/>
      <c r="K293" s="1574" t="s">
        <v>511</v>
      </c>
      <c r="L293" s="1574"/>
      <c r="M293" s="463"/>
    </row>
    <row r="294" spans="1:13" ht="16.5" hidden="1">
      <c r="A294" s="1526" t="s">
        <v>343</v>
      </c>
      <c r="B294" s="1526"/>
      <c r="C294" s="413"/>
      <c r="D294" s="1541" t="s">
        <v>11</v>
      </c>
      <c r="E294" s="1541"/>
      <c r="F294" s="1541"/>
      <c r="G294" s="1541"/>
      <c r="H294" s="1541"/>
      <c r="I294" s="1541"/>
      <c r="J294" s="1541"/>
      <c r="K294" s="1562"/>
      <c r="L294" s="1562"/>
      <c r="M294" s="466"/>
    </row>
    <row r="295" spans="1:13" ht="15.75" hidden="1">
      <c r="A295" s="432" t="s">
        <v>119</v>
      </c>
      <c r="B295" s="432"/>
      <c r="C295" s="418"/>
      <c r="D295" s="467"/>
      <c r="E295" s="467"/>
      <c r="F295" s="468"/>
      <c r="G295" s="468"/>
      <c r="H295" s="468"/>
      <c r="I295" s="468"/>
      <c r="J295" s="468"/>
      <c r="K295" s="1578"/>
      <c r="L295" s="1578"/>
      <c r="M295" s="463"/>
    </row>
    <row r="296" spans="1:13" ht="15.75" hidden="1">
      <c r="A296" s="467"/>
      <c r="B296" s="467" t="s">
        <v>94</v>
      </c>
      <c r="C296" s="467"/>
      <c r="D296" s="467"/>
      <c r="E296" s="467"/>
      <c r="F296" s="467"/>
      <c r="G296" s="467"/>
      <c r="H296" s="467"/>
      <c r="I296" s="467"/>
      <c r="J296" s="467"/>
      <c r="K296" s="1563"/>
      <c r="L296" s="1563"/>
      <c r="M296" s="463"/>
    </row>
    <row r="297" spans="1:13" ht="15.75" hidden="1">
      <c r="A297" s="1256" t="s">
        <v>71</v>
      </c>
      <c r="B297" s="1257"/>
      <c r="C297" s="1542" t="s">
        <v>38</v>
      </c>
      <c r="D297" s="1564" t="s">
        <v>339</v>
      </c>
      <c r="E297" s="1564"/>
      <c r="F297" s="1564"/>
      <c r="G297" s="1564"/>
      <c r="H297" s="1564"/>
      <c r="I297" s="1564"/>
      <c r="J297" s="1564"/>
      <c r="K297" s="1564"/>
      <c r="L297" s="1564"/>
      <c r="M297" s="466"/>
    </row>
    <row r="298" spans="1:13" ht="15.75" hidden="1">
      <c r="A298" s="1258"/>
      <c r="B298" s="1259"/>
      <c r="C298" s="1542"/>
      <c r="D298" s="1579" t="s">
        <v>207</v>
      </c>
      <c r="E298" s="1580"/>
      <c r="F298" s="1580"/>
      <c r="G298" s="1580"/>
      <c r="H298" s="1580"/>
      <c r="I298" s="1580"/>
      <c r="J298" s="1581"/>
      <c r="K298" s="1582" t="s">
        <v>208</v>
      </c>
      <c r="L298" s="1582" t="s">
        <v>209</v>
      </c>
      <c r="M298" s="463"/>
    </row>
    <row r="299" spans="1:13" ht="15.75" hidden="1">
      <c r="A299" s="1258"/>
      <c r="B299" s="1259"/>
      <c r="C299" s="1542"/>
      <c r="D299" s="1587" t="s">
        <v>37</v>
      </c>
      <c r="E299" s="1588" t="s">
        <v>7</v>
      </c>
      <c r="F299" s="1589"/>
      <c r="G299" s="1589"/>
      <c r="H299" s="1589"/>
      <c r="I299" s="1589"/>
      <c r="J299" s="1590"/>
      <c r="K299" s="1583"/>
      <c r="L299" s="1585"/>
      <c r="M299" s="463"/>
    </row>
    <row r="300" spans="1:16" ht="15.75" hidden="1">
      <c r="A300" s="1546"/>
      <c r="B300" s="1547"/>
      <c r="C300" s="1542"/>
      <c r="D300" s="1587"/>
      <c r="E300" s="469" t="s">
        <v>210</v>
      </c>
      <c r="F300" s="469" t="s">
        <v>211</v>
      </c>
      <c r="G300" s="469" t="s">
        <v>212</v>
      </c>
      <c r="H300" s="469" t="s">
        <v>213</v>
      </c>
      <c r="I300" s="469" t="s">
        <v>344</v>
      </c>
      <c r="J300" s="469" t="s">
        <v>214</v>
      </c>
      <c r="K300" s="1584"/>
      <c r="L300" s="1586"/>
      <c r="M300" s="1540" t="s">
        <v>500</v>
      </c>
      <c r="N300" s="1540"/>
      <c r="O300" s="1540"/>
      <c r="P300" s="1540"/>
    </row>
    <row r="301" spans="1:16" ht="15" hidden="1">
      <c r="A301" s="1544" t="s">
        <v>6</v>
      </c>
      <c r="B301" s="1545"/>
      <c r="C301" s="470">
        <v>1</v>
      </c>
      <c r="D301" s="471">
        <v>2</v>
      </c>
      <c r="E301" s="470">
        <v>3</v>
      </c>
      <c r="F301" s="471">
        <v>4</v>
      </c>
      <c r="G301" s="470">
        <v>5</v>
      </c>
      <c r="H301" s="471">
        <v>6</v>
      </c>
      <c r="I301" s="470">
        <v>7</v>
      </c>
      <c r="J301" s="471">
        <v>8</v>
      </c>
      <c r="K301" s="470">
        <v>9</v>
      </c>
      <c r="L301" s="471">
        <v>10</v>
      </c>
      <c r="M301" s="472" t="s">
        <v>501</v>
      </c>
      <c r="N301" s="473" t="s">
        <v>504</v>
      </c>
      <c r="O301" s="473" t="s">
        <v>502</v>
      </c>
      <c r="P301" s="473" t="s">
        <v>503</v>
      </c>
    </row>
    <row r="302" spans="1:16" ht="24.75" customHeight="1" hidden="1">
      <c r="A302" s="425" t="s">
        <v>0</v>
      </c>
      <c r="B302" s="426" t="s">
        <v>131</v>
      </c>
      <c r="C302" s="404">
        <f>C303+C304</f>
        <v>394761</v>
      </c>
      <c r="D302" s="404">
        <f aca="true" t="shared" si="71" ref="D302:L302">D303+D304</f>
        <v>89648</v>
      </c>
      <c r="E302" s="404">
        <f t="shared" si="71"/>
        <v>48513</v>
      </c>
      <c r="F302" s="404">
        <f t="shared" si="71"/>
        <v>0</v>
      </c>
      <c r="G302" s="404">
        <f t="shared" si="71"/>
        <v>34900</v>
      </c>
      <c r="H302" s="404">
        <f t="shared" si="71"/>
        <v>200</v>
      </c>
      <c r="I302" s="404">
        <f t="shared" si="71"/>
        <v>0</v>
      </c>
      <c r="J302" s="404">
        <f t="shared" si="71"/>
        <v>6035</v>
      </c>
      <c r="K302" s="404">
        <f t="shared" si="71"/>
        <v>0</v>
      </c>
      <c r="L302" s="404">
        <f t="shared" si="71"/>
        <v>305113</v>
      </c>
      <c r="M302" s="404" t="e">
        <f>'03'!#REF!+'04'!#REF!</f>
        <v>#REF!</v>
      </c>
      <c r="N302" s="404" t="e">
        <f>C302-M302</f>
        <v>#REF!</v>
      </c>
      <c r="O302" s="404" t="e">
        <f>'07'!#REF!</f>
        <v>#REF!</v>
      </c>
      <c r="P302" s="404" t="e">
        <f>C302-O302</f>
        <v>#REF!</v>
      </c>
    </row>
    <row r="303" spans="1:16" ht="24.75" customHeight="1" hidden="1">
      <c r="A303" s="428">
        <v>1</v>
      </c>
      <c r="B303" s="429" t="s">
        <v>132</v>
      </c>
      <c r="C303" s="404">
        <f>D303+K303+L303</f>
        <v>139828</v>
      </c>
      <c r="D303" s="404">
        <f>E303+F303+G303+H303+I303+J303</f>
        <v>48342</v>
      </c>
      <c r="E303" s="406">
        <v>28442</v>
      </c>
      <c r="F303" s="406"/>
      <c r="G303" s="406">
        <v>19900</v>
      </c>
      <c r="H303" s="406"/>
      <c r="I303" s="406"/>
      <c r="J303" s="406"/>
      <c r="K303" s="406"/>
      <c r="L303" s="406">
        <v>91486</v>
      </c>
      <c r="M303" s="406" t="e">
        <f>'03'!#REF!+'04'!#REF!</f>
        <v>#REF!</v>
      </c>
      <c r="N303" s="406" t="e">
        <f aca="true" t="shared" si="72" ref="N303:N317">C303-M303</f>
        <v>#REF!</v>
      </c>
      <c r="O303" s="406" t="e">
        <f>'07'!#REF!</f>
        <v>#REF!</v>
      </c>
      <c r="P303" s="406" t="e">
        <f aca="true" t="shared" si="73" ref="P303:P317">C303-O303</f>
        <v>#REF!</v>
      </c>
    </row>
    <row r="304" spans="1:16" ht="24.75" customHeight="1" hidden="1">
      <c r="A304" s="428">
        <v>2</v>
      </c>
      <c r="B304" s="429" t="s">
        <v>133</v>
      </c>
      <c r="C304" s="404">
        <f>D304+K304+L304</f>
        <v>254933</v>
      </c>
      <c r="D304" s="404">
        <f>E304+F304+G304+H304+I304+J304</f>
        <v>41306</v>
      </c>
      <c r="E304" s="406">
        <v>20071</v>
      </c>
      <c r="F304" s="406">
        <v>0</v>
      </c>
      <c r="G304" s="406">
        <v>15000</v>
      </c>
      <c r="H304" s="406">
        <v>200</v>
      </c>
      <c r="I304" s="406">
        <v>0</v>
      </c>
      <c r="J304" s="406">
        <v>6035</v>
      </c>
      <c r="K304" s="406">
        <v>0</v>
      </c>
      <c r="L304" s="406">
        <v>213627</v>
      </c>
      <c r="M304" s="406" t="e">
        <f>'03'!#REF!+'04'!#REF!</f>
        <v>#REF!</v>
      </c>
      <c r="N304" s="406" t="e">
        <f t="shared" si="72"/>
        <v>#REF!</v>
      </c>
      <c r="O304" s="406" t="e">
        <f>'07'!#REF!</f>
        <v>#REF!</v>
      </c>
      <c r="P304" s="406" t="e">
        <f t="shared" si="73"/>
        <v>#REF!</v>
      </c>
    </row>
    <row r="305" spans="1:16" ht="24.75" customHeight="1" hidden="1">
      <c r="A305" s="394" t="s">
        <v>1</v>
      </c>
      <c r="B305" s="395" t="s">
        <v>134</v>
      </c>
      <c r="C305" s="404">
        <f>D305+K305+L305</f>
        <v>0</v>
      </c>
      <c r="D305" s="404">
        <f>E305+F305+G305+H305+I305+J305</f>
        <v>0</v>
      </c>
      <c r="E305" s="406">
        <v>0</v>
      </c>
      <c r="F305" s="406">
        <v>0</v>
      </c>
      <c r="G305" s="406">
        <v>0</v>
      </c>
      <c r="H305" s="406">
        <v>0</v>
      </c>
      <c r="I305" s="406">
        <v>0</v>
      </c>
      <c r="J305" s="406">
        <v>0</v>
      </c>
      <c r="K305" s="406">
        <v>0</v>
      </c>
      <c r="L305" s="406">
        <v>0</v>
      </c>
      <c r="M305" s="406" t="e">
        <f>'03'!#REF!+'04'!#REF!</f>
        <v>#REF!</v>
      </c>
      <c r="N305" s="406" t="e">
        <f t="shared" si="72"/>
        <v>#REF!</v>
      </c>
      <c r="O305" s="406" t="e">
        <f>'07'!#REF!</f>
        <v>#REF!</v>
      </c>
      <c r="P305" s="406" t="e">
        <f t="shared" si="73"/>
        <v>#REF!</v>
      </c>
    </row>
    <row r="306" spans="1:16" ht="24.75" customHeight="1" hidden="1">
      <c r="A306" s="394" t="s">
        <v>9</v>
      </c>
      <c r="B306" s="395" t="s">
        <v>135</v>
      </c>
      <c r="C306" s="404">
        <f>D306+K306+L306</f>
        <v>0</v>
      </c>
      <c r="D306" s="404">
        <f>E306+F306+G306+H306+I306+J306</f>
        <v>0</v>
      </c>
      <c r="E306" s="406">
        <v>0</v>
      </c>
      <c r="F306" s="406">
        <v>0</v>
      </c>
      <c r="G306" s="406">
        <v>0</v>
      </c>
      <c r="H306" s="406">
        <v>0</v>
      </c>
      <c r="I306" s="406">
        <v>0</v>
      </c>
      <c r="J306" s="406">
        <v>0</v>
      </c>
      <c r="K306" s="406">
        <v>0</v>
      </c>
      <c r="L306" s="406">
        <v>0</v>
      </c>
      <c r="M306" s="406" t="e">
        <f>'03'!#REF!+'04'!#REF!</f>
        <v>#REF!</v>
      </c>
      <c r="N306" s="406" t="e">
        <f t="shared" si="72"/>
        <v>#REF!</v>
      </c>
      <c r="O306" s="406" t="e">
        <f>'07'!#REF!</f>
        <v>#REF!</v>
      </c>
      <c r="P306" s="406" t="e">
        <f t="shared" si="73"/>
        <v>#REF!</v>
      </c>
    </row>
    <row r="307" spans="1:16" ht="24.75" customHeight="1" hidden="1">
      <c r="A307" s="394" t="s">
        <v>136</v>
      </c>
      <c r="B307" s="395" t="s">
        <v>137</v>
      </c>
      <c r="C307" s="404">
        <f>C308+C317</f>
        <v>394761</v>
      </c>
      <c r="D307" s="404">
        <f aca="true" t="shared" si="74" ref="D307:L307">D308+D317</f>
        <v>89648</v>
      </c>
      <c r="E307" s="404">
        <f t="shared" si="74"/>
        <v>48513</v>
      </c>
      <c r="F307" s="404">
        <f t="shared" si="74"/>
        <v>0</v>
      </c>
      <c r="G307" s="404">
        <f t="shared" si="74"/>
        <v>34900</v>
      </c>
      <c r="H307" s="404">
        <f t="shared" si="74"/>
        <v>200</v>
      </c>
      <c r="I307" s="404">
        <f t="shared" si="74"/>
        <v>0</v>
      </c>
      <c r="J307" s="404">
        <f t="shared" si="74"/>
        <v>6035</v>
      </c>
      <c r="K307" s="404">
        <f t="shared" si="74"/>
        <v>0</v>
      </c>
      <c r="L307" s="404">
        <f t="shared" si="74"/>
        <v>305113</v>
      </c>
      <c r="M307" s="404" t="e">
        <f>'03'!#REF!+'04'!#REF!</f>
        <v>#REF!</v>
      </c>
      <c r="N307" s="404" t="e">
        <f t="shared" si="72"/>
        <v>#REF!</v>
      </c>
      <c r="O307" s="404" t="e">
        <f>'07'!#REF!</f>
        <v>#REF!</v>
      </c>
      <c r="P307" s="404" t="e">
        <f t="shared" si="73"/>
        <v>#REF!</v>
      </c>
    </row>
    <row r="308" spans="1:16" ht="24.75" customHeight="1" hidden="1">
      <c r="A308" s="394" t="s">
        <v>52</v>
      </c>
      <c r="B308" s="430" t="s">
        <v>138</v>
      </c>
      <c r="C308" s="404">
        <f>SUM(C309:C316)</f>
        <v>346419</v>
      </c>
      <c r="D308" s="404">
        <f aca="true" t="shared" si="75" ref="D308:L308">SUM(D309:D316)</f>
        <v>41306</v>
      </c>
      <c r="E308" s="404">
        <f t="shared" si="75"/>
        <v>20071</v>
      </c>
      <c r="F308" s="404">
        <f t="shared" si="75"/>
        <v>0</v>
      </c>
      <c r="G308" s="404">
        <f t="shared" si="75"/>
        <v>15000</v>
      </c>
      <c r="H308" s="404">
        <f t="shared" si="75"/>
        <v>200</v>
      </c>
      <c r="I308" s="404">
        <f t="shared" si="75"/>
        <v>0</v>
      </c>
      <c r="J308" s="404">
        <f t="shared" si="75"/>
        <v>6035</v>
      </c>
      <c r="K308" s="404">
        <f t="shared" si="75"/>
        <v>0</v>
      </c>
      <c r="L308" s="404">
        <f t="shared" si="75"/>
        <v>305113</v>
      </c>
      <c r="M308" s="404" t="e">
        <f>'03'!#REF!+'04'!#REF!</f>
        <v>#REF!</v>
      </c>
      <c r="N308" s="404" t="e">
        <f t="shared" si="72"/>
        <v>#REF!</v>
      </c>
      <c r="O308" s="404" t="e">
        <f>'07'!#REF!</f>
        <v>#REF!</v>
      </c>
      <c r="P308" s="404" t="e">
        <f t="shared" si="73"/>
        <v>#REF!</v>
      </c>
    </row>
    <row r="309" spans="1:16" ht="24.75" customHeight="1" hidden="1">
      <c r="A309" s="428" t="s">
        <v>54</v>
      </c>
      <c r="B309" s="429" t="s">
        <v>139</v>
      </c>
      <c r="C309" s="404">
        <f aca="true" t="shared" si="76" ref="C309:C317">D309+K309+L309</f>
        <v>110738</v>
      </c>
      <c r="D309" s="404">
        <f aca="true" t="shared" si="77" ref="D309:D317">E309+F309+G309+H309+I309+J309</f>
        <v>31691</v>
      </c>
      <c r="E309" s="406">
        <v>12757</v>
      </c>
      <c r="F309" s="406">
        <v>0</v>
      </c>
      <c r="G309" s="406">
        <v>13000</v>
      </c>
      <c r="H309" s="406">
        <v>200</v>
      </c>
      <c r="I309" s="406">
        <v>0</v>
      </c>
      <c r="J309" s="406">
        <v>5734</v>
      </c>
      <c r="K309" s="406">
        <v>0</v>
      </c>
      <c r="L309" s="406">
        <v>79047</v>
      </c>
      <c r="M309" s="406" t="e">
        <f>'03'!#REF!+'04'!#REF!</f>
        <v>#REF!</v>
      </c>
      <c r="N309" s="406" t="e">
        <f t="shared" si="72"/>
        <v>#REF!</v>
      </c>
      <c r="O309" s="406" t="e">
        <f>'07'!#REF!</f>
        <v>#REF!</v>
      </c>
      <c r="P309" s="406" t="e">
        <f t="shared" si="73"/>
        <v>#REF!</v>
      </c>
    </row>
    <row r="310" spans="1:16" ht="24.75" customHeight="1" hidden="1">
      <c r="A310" s="428" t="s">
        <v>55</v>
      </c>
      <c r="B310" s="429" t="s">
        <v>140</v>
      </c>
      <c r="C310" s="404">
        <f t="shared" si="76"/>
        <v>0</v>
      </c>
      <c r="D310" s="404">
        <f t="shared" si="77"/>
        <v>0</v>
      </c>
      <c r="E310" s="406">
        <v>0</v>
      </c>
      <c r="F310" s="406">
        <v>0</v>
      </c>
      <c r="G310" s="406">
        <v>0</v>
      </c>
      <c r="H310" s="406">
        <v>0</v>
      </c>
      <c r="I310" s="406">
        <v>0</v>
      </c>
      <c r="J310" s="406">
        <v>0</v>
      </c>
      <c r="K310" s="406">
        <v>0</v>
      </c>
      <c r="L310" s="406">
        <v>0</v>
      </c>
      <c r="M310" s="406" t="e">
        <f>'03'!#REF!+'04'!#REF!</f>
        <v>#REF!</v>
      </c>
      <c r="N310" s="406" t="e">
        <f t="shared" si="72"/>
        <v>#REF!</v>
      </c>
      <c r="O310" s="406" t="e">
        <f>'07'!#REF!</f>
        <v>#REF!</v>
      </c>
      <c r="P310" s="406" t="e">
        <f t="shared" si="73"/>
        <v>#REF!</v>
      </c>
    </row>
    <row r="311" spans="1:16" ht="24.75" customHeight="1" hidden="1">
      <c r="A311" s="428" t="s">
        <v>141</v>
      </c>
      <c r="B311" s="429" t="s">
        <v>202</v>
      </c>
      <c r="C311" s="404">
        <f t="shared" si="76"/>
        <v>0</v>
      </c>
      <c r="D311" s="404">
        <f t="shared" si="77"/>
        <v>0</v>
      </c>
      <c r="E311" s="406">
        <v>0</v>
      </c>
      <c r="F311" s="406">
        <v>0</v>
      </c>
      <c r="G311" s="406">
        <v>0</v>
      </c>
      <c r="H311" s="406">
        <v>0</v>
      </c>
      <c r="I311" s="406">
        <v>0</v>
      </c>
      <c r="J311" s="406">
        <v>0</v>
      </c>
      <c r="K311" s="406">
        <v>0</v>
      </c>
      <c r="L311" s="406">
        <v>0</v>
      </c>
      <c r="M311" s="406" t="e">
        <f>'03'!#REF!</f>
        <v>#REF!</v>
      </c>
      <c r="N311" s="406" t="e">
        <f t="shared" si="72"/>
        <v>#REF!</v>
      </c>
      <c r="O311" s="406" t="e">
        <f>'07'!#REF!</f>
        <v>#REF!</v>
      </c>
      <c r="P311" s="406" t="e">
        <f t="shared" si="73"/>
        <v>#REF!</v>
      </c>
    </row>
    <row r="312" spans="1:16" ht="24.75" customHeight="1" hidden="1">
      <c r="A312" s="428" t="s">
        <v>143</v>
      </c>
      <c r="B312" s="429" t="s">
        <v>142</v>
      </c>
      <c r="C312" s="404">
        <f t="shared" si="76"/>
        <v>165795</v>
      </c>
      <c r="D312" s="404">
        <f t="shared" si="77"/>
        <v>9615</v>
      </c>
      <c r="E312" s="406">
        <v>7314</v>
      </c>
      <c r="F312" s="406">
        <v>0</v>
      </c>
      <c r="G312" s="406">
        <v>2000</v>
      </c>
      <c r="H312" s="406">
        <v>0</v>
      </c>
      <c r="I312" s="406">
        <v>0</v>
      </c>
      <c r="J312" s="406">
        <v>301</v>
      </c>
      <c r="K312" s="406">
        <v>0</v>
      </c>
      <c r="L312" s="406">
        <v>156180</v>
      </c>
      <c r="M312" s="406" t="e">
        <f>'03'!#REF!+'04'!#REF!</f>
        <v>#REF!</v>
      </c>
      <c r="N312" s="406" t="e">
        <f t="shared" si="72"/>
        <v>#REF!</v>
      </c>
      <c r="O312" s="406" t="e">
        <f>'07'!#REF!</f>
        <v>#REF!</v>
      </c>
      <c r="P312" s="406" t="e">
        <f t="shared" si="73"/>
        <v>#REF!</v>
      </c>
    </row>
    <row r="313" spans="1:16" ht="24.75" customHeight="1" hidden="1">
      <c r="A313" s="428" t="s">
        <v>145</v>
      </c>
      <c r="B313" s="429" t="s">
        <v>144</v>
      </c>
      <c r="C313" s="404">
        <f t="shared" si="76"/>
        <v>69886</v>
      </c>
      <c r="D313" s="404">
        <f t="shared" si="77"/>
        <v>0</v>
      </c>
      <c r="E313" s="406">
        <v>0</v>
      </c>
      <c r="F313" s="406">
        <v>0</v>
      </c>
      <c r="G313" s="406">
        <v>0</v>
      </c>
      <c r="H313" s="406">
        <v>0</v>
      </c>
      <c r="I313" s="406">
        <v>0</v>
      </c>
      <c r="J313" s="406">
        <v>0</v>
      </c>
      <c r="K313" s="406">
        <v>0</v>
      </c>
      <c r="L313" s="406">
        <v>69886</v>
      </c>
      <c r="M313" s="406" t="e">
        <f>'03'!#REF!+'04'!#REF!</f>
        <v>#REF!</v>
      </c>
      <c r="N313" s="406" t="e">
        <f t="shared" si="72"/>
        <v>#REF!</v>
      </c>
      <c r="O313" s="406" t="e">
        <f>'07'!#REF!</f>
        <v>#REF!</v>
      </c>
      <c r="P313" s="406" t="e">
        <f t="shared" si="73"/>
        <v>#REF!</v>
      </c>
    </row>
    <row r="314" spans="1:16" ht="24.75" customHeight="1" hidden="1">
      <c r="A314" s="428" t="s">
        <v>147</v>
      </c>
      <c r="B314" s="429" t="s">
        <v>146</v>
      </c>
      <c r="C314" s="404">
        <f t="shared" si="76"/>
        <v>0</v>
      </c>
      <c r="D314" s="404">
        <f t="shared" si="77"/>
        <v>0</v>
      </c>
      <c r="E314" s="406">
        <v>0</v>
      </c>
      <c r="F314" s="406">
        <v>0</v>
      </c>
      <c r="G314" s="406">
        <v>0</v>
      </c>
      <c r="H314" s="406">
        <v>0</v>
      </c>
      <c r="I314" s="406">
        <v>0</v>
      </c>
      <c r="J314" s="406">
        <v>0</v>
      </c>
      <c r="K314" s="406">
        <v>0</v>
      </c>
      <c r="L314" s="406">
        <v>0</v>
      </c>
      <c r="M314" s="406" t="e">
        <f>'03'!#REF!+'04'!#REF!</f>
        <v>#REF!</v>
      </c>
      <c r="N314" s="406" t="e">
        <f t="shared" si="72"/>
        <v>#REF!</v>
      </c>
      <c r="O314" s="406" t="e">
        <f>'07'!#REF!</f>
        <v>#REF!</v>
      </c>
      <c r="P314" s="406" t="e">
        <f t="shared" si="73"/>
        <v>#REF!</v>
      </c>
    </row>
    <row r="315" spans="1:16" ht="24.75" customHeight="1" hidden="1">
      <c r="A315" s="428" t="s">
        <v>149</v>
      </c>
      <c r="B315" s="431" t="s">
        <v>148</v>
      </c>
      <c r="C315" s="404">
        <f t="shared" si="76"/>
        <v>0</v>
      </c>
      <c r="D315" s="404">
        <f t="shared" si="77"/>
        <v>0</v>
      </c>
      <c r="E315" s="406">
        <v>0</v>
      </c>
      <c r="F315" s="406">
        <v>0</v>
      </c>
      <c r="G315" s="406">
        <v>0</v>
      </c>
      <c r="H315" s="406">
        <v>0</v>
      </c>
      <c r="I315" s="406">
        <v>0</v>
      </c>
      <c r="J315" s="406">
        <v>0</v>
      </c>
      <c r="K315" s="406">
        <v>0</v>
      </c>
      <c r="L315" s="406">
        <v>0</v>
      </c>
      <c r="M315" s="406" t="e">
        <f>'03'!#REF!+'04'!#REF!</f>
        <v>#REF!</v>
      </c>
      <c r="N315" s="406" t="e">
        <f t="shared" si="72"/>
        <v>#REF!</v>
      </c>
      <c r="O315" s="406" t="e">
        <f>'07'!#REF!</f>
        <v>#REF!</v>
      </c>
      <c r="P315" s="406" t="e">
        <f t="shared" si="73"/>
        <v>#REF!</v>
      </c>
    </row>
    <row r="316" spans="1:16" ht="24.75" customHeight="1" hidden="1">
      <c r="A316" s="428" t="s">
        <v>186</v>
      </c>
      <c r="B316" s="429" t="s">
        <v>150</v>
      </c>
      <c r="C316" s="404">
        <f t="shared" si="76"/>
        <v>0</v>
      </c>
      <c r="D316" s="404">
        <f t="shared" si="77"/>
        <v>0</v>
      </c>
      <c r="E316" s="406">
        <v>0</v>
      </c>
      <c r="F316" s="406">
        <v>0</v>
      </c>
      <c r="G316" s="406">
        <v>0</v>
      </c>
      <c r="H316" s="406">
        <v>0</v>
      </c>
      <c r="I316" s="406">
        <v>0</v>
      </c>
      <c r="J316" s="406">
        <v>0</v>
      </c>
      <c r="K316" s="406">
        <v>0</v>
      </c>
      <c r="L316" s="406">
        <v>0</v>
      </c>
      <c r="M316" s="406" t="e">
        <f>'03'!#REF!+'04'!#REF!</f>
        <v>#REF!</v>
      </c>
      <c r="N316" s="406" t="e">
        <f t="shared" si="72"/>
        <v>#REF!</v>
      </c>
      <c r="O316" s="406" t="e">
        <f>'07'!#REF!</f>
        <v>#REF!</v>
      </c>
      <c r="P316" s="406" t="e">
        <f t="shared" si="73"/>
        <v>#REF!</v>
      </c>
    </row>
    <row r="317" spans="1:16" ht="24.75" customHeight="1" hidden="1">
      <c r="A317" s="394" t="s">
        <v>53</v>
      </c>
      <c r="B317" s="395" t="s">
        <v>151</v>
      </c>
      <c r="C317" s="404">
        <f t="shared" si="76"/>
        <v>48342</v>
      </c>
      <c r="D317" s="404">
        <f t="shared" si="77"/>
        <v>48342</v>
      </c>
      <c r="E317" s="406">
        <v>28442</v>
      </c>
      <c r="F317" s="406">
        <v>0</v>
      </c>
      <c r="G317" s="406">
        <v>19900</v>
      </c>
      <c r="H317" s="406">
        <v>0</v>
      </c>
      <c r="I317" s="406">
        <v>0</v>
      </c>
      <c r="J317" s="406">
        <v>0</v>
      </c>
      <c r="K317" s="406">
        <v>0</v>
      </c>
      <c r="L317" s="406">
        <v>0</v>
      </c>
      <c r="M317" s="404" t="e">
        <f>'03'!#REF!+'04'!#REF!</f>
        <v>#REF!</v>
      </c>
      <c r="N317" s="404" t="e">
        <f t="shared" si="72"/>
        <v>#REF!</v>
      </c>
      <c r="O317" s="404" t="e">
        <f>'07'!#REF!</f>
        <v>#REF!</v>
      </c>
      <c r="P317" s="404" t="e">
        <f t="shared" si="73"/>
        <v>#REF!</v>
      </c>
    </row>
    <row r="318" spans="1:16" ht="24.75" customHeight="1" hidden="1">
      <c r="A318" s="452" t="s">
        <v>76</v>
      </c>
      <c r="B318" s="477" t="s">
        <v>215</v>
      </c>
      <c r="C318" s="461">
        <f>(C309+C310+C311)/C308</f>
        <v>0.3196649144533065</v>
      </c>
      <c r="D318" s="396">
        <f aca="true" t="shared" si="78" ref="D318:L318">(D309+D310+D311)/D308</f>
        <v>0.7672251004696654</v>
      </c>
      <c r="E318" s="412">
        <f t="shared" si="78"/>
        <v>0.6355936425688805</v>
      </c>
      <c r="F318" s="412" t="e">
        <f t="shared" si="78"/>
        <v>#DIV/0!</v>
      </c>
      <c r="G318" s="412">
        <f t="shared" si="78"/>
        <v>0.8666666666666667</v>
      </c>
      <c r="H318" s="412">
        <f t="shared" si="78"/>
        <v>1</v>
      </c>
      <c r="I318" s="412" t="e">
        <f t="shared" si="78"/>
        <v>#DIV/0!</v>
      </c>
      <c r="J318" s="412">
        <f t="shared" si="78"/>
        <v>0.9501242750621375</v>
      </c>
      <c r="K318" s="412" t="e">
        <f t="shared" si="78"/>
        <v>#DIV/0!</v>
      </c>
      <c r="L318" s="412">
        <f t="shared" si="78"/>
        <v>0.2590745068220626</v>
      </c>
      <c r="M318" s="422"/>
      <c r="N318" s="478"/>
      <c r="O318" s="478"/>
      <c r="P318" s="478"/>
    </row>
    <row r="319" spans="1:16" ht="17.25" hidden="1">
      <c r="A319" s="1548" t="s">
        <v>498</v>
      </c>
      <c r="B319" s="1548"/>
      <c r="C319" s="406">
        <f>C302-C305-C306-C307</f>
        <v>0</v>
      </c>
      <c r="D319" s="406">
        <f aca="true" t="shared" si="79" ref="D319:L319">D302-D305-D306-D307</f>
        <v>0</v>
      </c>
      <c r="E319" s="406">
        <f t="shared" si="79"/>
        <v>0</v>
      </c>
      <c r="F319" s="406">
        <f t="shared" si="79"/>
        <v>0</v>
      </c>
      <c r="G319" s="406">
        <f t="shared" si="79"/>
        <v>0</v>
      </c>
      <c r="H319" s="406">
        <f t="shared" si="79"/>
        <v>0</v>
      </c>
      <c r="I319" s="406">
        <f t="shared" si="79"/>
        <v>0</v>
      </c>
      <c r="J319" s="406">
        <f t="shared" si="79"/>
        <v>0</v>
      </c>
      <c r="K319" s="406">
        <f t="shared" si="79"/>
        <v>0</v>
      </c>
      <c r="L319" s="406">
        <f t="shared" si="79"/>
        <v>0</v>
      </c>
      <c r="M319" s="422"/>
      <c r="N319" s="478"/>
      <c r="O319" s="478"/>
      <c r="P319" s="478"/>
    </row>
    <row r="320" spans="1:16" ht="17.25" hidden="1">
      <c r="A320" s="1549" t="s">
        <v>499</v>
      </c>
      <c r="B320" s="1549"/>
      <c r="C320" s="406">
        <f>C307-C308-C317</f>
        <v>0</v>
      </c>
      <c r="D320" s="406">
        <f aca="true" t="shared" si="80" ref="D320:L320">D307-D308-D317</f>
        <v>0</v>
      </c>
      <c r="E320" s="406">
        <f t="shared" si="80"/>
        <v>0</v>
      </c>
      <c r="F320" s="406">
        <f t="shared" si="80"/>
        <v>0</v>
      </c>
      <c r="G320" s="406">
        <f t="shared" si="80"/>
        <v>0</v>
      </c>
      <c r="H320" s="406">
        <f t="shared" si="80"/>
        <v>0</v>
      </c>
      <c r="I320" s="406">
        <f t="shared" si="80"/>
        <v>0</v>
      </c>
      <c r="J320" s="406">
        <f t="shared" si="80"/>
        <v>0</v>
      </c>
      <c r="K320" s="406">
        <f t="shared" si="80"/>
        <v>0</v>
      </c>
      <c r="L320" s="406">
        <f t="shared" si="80"/>
        <v>0</v>
      </c>
      <c r="M320" s="422"/>
      <c r="N320" s="478"/>
      <c r="O320" s="478"/>
      <c r="P320" s="478"/>
    </row>
    <row r="321" spans="1:16" ht="18.75" hidden="1">
      <c r="A321" s="463"/>
      <c r="B321" s="479" t="s">
        <v>518</v>
      </c>
      <c r="C321" s="479"/>
      <c r="D321" s="453"/>
      <c r="E321" s="453"/>
      <c r="F321" s="453"/>
      <c r="G321" s="1575" t="s">
        <v>518</v>
      </c>
      <c r="H321" s="1575"/>
      <c r="I321" s="1575"/>
      <c r="J321" s="1575"/>
      <c r="K321" s="1575"/>
      <c r="L321" s="1575"/>
      <c r="M321" s="466"/>
      <c r="N321" s="466"/>
      <c r="O321" s="466"/>
      <c r="P321" s="466"/>
    </row>
    <row r="322" spans="1:16" ht="18.75" hidden="1">
      <c r="A322" s="1576" t="s">
        <v>4</v>
      </c>
      <c r="B322" s="1576"/>
      <c r="C322" s="1576"/>
      <c r="D322" s="1576"/>
      <c r="E322" s="453"/>
      <c r="F322" s="453"/>
      <c r="G322" s="480"/>
      <c r="H322" s="1577" t="s">
        <v>519</v>
      </c>
      <c r="I322" s="1577"/>
      <c r="J322" s="1577"/>
      <c r="K322" s="1577"/>
      <c r="L322" s="1577"/>
      <c r="M322" s="466"/>
      <c r="N322" s="466"/>
      <c r="O322" s="466"/>
      <c r="P322" s="466"/>
    </row>
    <row r="323" ht="15" hidden="1"/>
    <row r="324" ht="15" hidden="1"/>
    <row r="325" ht="15" hidden="1"/>
    <row r="326" ht="15" hidden="1"/>
    <row r="327" ht="15" hidden="1"/>
    <row r="328" ht="15" hidden="1"/>
    <row r="329" ht="15" hidden="1"/>
    <row r="330" ht="15" hidden="1"/>
    <row r="331" ht="15" hidden="1"/>
    <row r="332" ht="15" hidden="1"/>
    <row r="333" ht="15" hidden="1"/>
    <row r="334" ht="15" hidden="1"/>
    <row r="335" spans="1:13" ht="16.5" hidden="1">
      <c r="A335" s="1560" t="s">
        <v>33</v>
      </c>
      <c r="B335" s="1561"/>
      <c r="C335" s="462"/>
      <c r="D335" s="1537" t="s">
        <v>79</v>
      </c>
      <c r="E335" s="1537"/>
      <c r="F335" s="1537"/>
      <c r="G335" s="1537"/>
      <c r="H335" s="1537"/>
      <c r="I335" s="1537"/>
      <c r="J335" s="1537"/>
      <c r="K335" s="1562"/>
      <c r="L335" s="1562"/>
      <c r="M335" s="466"/>
    </row>
    <row r="336" spans="1:13" ht="16.5" hidden="1">
      <c r="A336" s="1526" t="s">
        <v>342</v>
      </c>
      <c r="B336" s="1526"/>
      <c r="C336" s="1526"/>
      <c r="D336" s="1537" t="s">
        <v>216</v>
      </c>
      <c r="E336" s="1537"/>
      <c r="F336" s="1537"/>
      <c r="G336" s="1537"/>
      <c r="H336" s="1537"/>
      <c r="I336" s="1537"/>
      <c r="J336" s="1537"/>
      <c r="K336" s="1574" t="s">
        <v>512</v>
      </c>
      <c r="L336" s="1574"/>
      <c r="M336" s="463"/>
    </row>
    <row r="337" spans="1:13" ht="16.5" hidden="1">
      <c r="A337" s="1526" t="s">
        <v>343</v>
      </c>
      <c r="B337" s="1526"/>
      <c r="C337" s="413"/>
      <c r="D337" s="1541" t="s">
        <v>552</v>
      </c>
      <c r="E337" s="1541"/>
      <c r="F337" s="1541"/>
      <c r="G337" s="1541"/>
      <c r="H337" s="1541"/>
      <c r="I337" s="1541"/>
      <c r="J337" s="1541"/>
      <c r="K337" s="1562"/>
      <c r="L337" s="1562"/>
      <c r="M337" s="466"/>
    </row>
    <row r="338" spans="1:13" ht="15.75" hidden="1">
      <c r="A338" s="432" t="s">
        <v>119</v>
      </c>
      <c r="B338" s="432"/>
      <c r="C338" s="418"/>
      <c r="D338" s="467"/>
      <c r="E338" s="467"/>
      <c r="F338" s="468"/>
      <c r="G338" s="468"/>
      <c r="H338" s="468"/>
      <c r="I338" s="468"/>
      <c r="J338" s="468"/>
      <c r="K338" s="1578"/>
      <c r="L338" s="1578"/>
      <c r="M338" s="463"/>
    </row>
    <row r="339" spans="1:13" ht="15.75" hidden="1">
      <c r="A339" s="467"/>
      <c r="B339" s="467" t="s">
        <v>94</v>
      </c>
      <c r="C339" s="467"/>
      <c r="D339" s="467"/>
      <c r="E339" s="467"/>
      <c r="F339" s="467"/>
      <c r="G339" s="467"/>
      <c r="H339" s="467"/>
      <c r="I339" s="467"/>
      <c r="J339" s="467"/>
      <c r="K339" s="1563"/>
      <c r="L339" s="1563"/>
      <c r="M339" s="463"/>
    </row>
    <row r="340" spans="1:13" ht="15.75" hidden="1">
      <c r="A340" s="1256" t="s">
        <v>71</v>
      </c>
      <c r="B340" s="1257"/>
      <c r="C340" s="1542" t="s">
        <v>38</v>
      </c>
      <c r="D340" s="1564" t="s">
        <v>339</v>
      </c>
      <c r="E340" s="1564"/>
      <c r="F340" s="1564"/>
      <c r="G340" s="1564"/>
      <c r="H340" s="1564"/>
      <c r="I340" s="1564"/>
      <c r="J340" s="1564"/>
      <c r="K340" s="1564"/>
      <c r="L340" s="1564"/>
      <c r="M340" s="466"/>
    </row>
    <row r="341" spans="1:13" ht="15.75" hidden="1">
      <c r="A341" s="1258"/>
      <c r="B341" s="1259"/>
      <c r="C341" s="1542"/>
      <c r="D341" s="1579" t="s">
        <v>207</v>
      </c>
      <c r="E341" s="1580"/>
      <c r="F341" s="1580"/>
      <c r="G341" s="1580"/>
      <c r="H341" s="1580"/>
      <c r="I341" s="1580"/>
      <c r="J341" s="1581"/>
      <c r="K341" s="1582" t="s">
        <v>208</v>
      </c>
      <c r="L341" s="1582" t="s">
        <v>209</v>
      </c>
      <c r="M341" s="463"/>
    </row>
    <row r="342" spans="1:13" ht="15.75" hidden="1">
      <c r="A342" s="1258"/>
      <c r="B342" s="1259"/>
      <c r="C342" s="1542"/>
      <c r="D342" s="1587" t="s">
        <v>37</v>
      </c>
      <c r="E342" s="1588" t="s">
        <v>7</v>
      </c>
      <c r="F342" s="1589"/>
      <c r="G342" s="1589"/>
      <c r="H342" s="1589"/>
      <c r="I342" s="1589"/>
      <c r="J342" s="1590"/>
      <c r="K342" s="1583"/>
      <c r="L342" s="1585"/>
      <c r="M342" s="463"/>
    </row>
    <row r="343" spans="1:16" ht="15.75" hidden="1">
      <c r="A343" s="1546"/>
      <c r="B343" s="1547"/>
      <c r="C343" s="1542"/>
      <c r="D343" s="1587"/>
      <c r="E343" s="469" t="s">
        <v>210</v>
      </c>
      <c r="F343" s="469" t="s">
        <v>211</v>
      </c>
      <c r="G343" s="469" t="s">
        <v>212</v>
      </c>
      <c r="H343" s="469" t="s">
        <v>213</v>
      </c>
      <c r="I343" s="469" t="s">
        <v>344</v>
      </c>
      <c r="J343" s="469" t="s">
        <v>214</v>
      </c>
      <c r="K343" s="1584"/>
      <c r="L343" s="1586"/>
      <c r="M343" s="1540" t="s">
        <v>500</v>
      </c>
      <c r="N343" s="1540"/>
      <c r="O343" s="1540"/>
      <c r="P343" s="1540"/>
    </row>
    <row r="344" spans="1:16" ht="15" hidden="1">
      <c r="A344" s="1544" t="s">
        <v>6</v>
      </c>
      <c r="B344" s="1545"/>
      <c r="C344" s="470">
        <v>1</v>
      </c>
      <c r="D344" s="471">
        <v>2</v>
      </c>
      <c r="E344" s="470">
        <v>3</v>
      </c>
      <c r="F344" s="471">
        <v>4</v>
      </c>
      <c r="G344" s="470">
        <v>5</v>
      </c>
      <c r="H344" s="471">
        <v>6</v>
      </c>
      <c r="I344" s="470">
        <v>7</v>
      </c>
      <c r="J344" s="471">
        <v>8</v>
      </c>
      <c r="K344" s="470">
        <v>9</v>
      </c>
      <c r="L344" s="471">
        <v>10</v>
      </c>
      <c r="M344" s="472" t="s">
        <v>501</v>
      </c>
      <c r="N344" s="473" t="s">
        <v>504</v>
      </c>
      <c r="O344" s="473" t="s">
        <v>502</v>
      </c>
      <c r="P344" s="473" t="s">
        <v>503</v>
      </c>
    </row>
    <row r="345" spans="1:16" ht="24.75" customHeight="1" hidden="1">
      <c r="A345" s="425" t="s">
        <v>0</v>
      </c>
      <c r="B345" s="426" t="s">
        <v>131</v>
      </c>
      <c r="C345" s="404">
        <f>C346+C347</f>
        <v>676031</v>
      </c>
      <c r="D345" s="404">
        <f aca="true" t="shared" si="81" ref="D345:L345">D346+D347</f>
        <v>216345</v>
      </c>
      <c r="E345" s="404">
        <f t="shared" si="81"/>
        <v>42086</v>
      </c>
      <c r="F345" s="404">
        <f t="shared" si="81"/>
        <v>0</v>
      </c>
      <c r="G345" s="404">
        <f t="shared" si="81"/>
        <v>127097</v>
      </c>
      <c r="H345" s="404">
        <f t="shared" si="81"/>
        <v>24743</v>
      </c>
      <c r="I345" s="404">
        <f t="shared" si="81"/>
        <v>3300</v>
      </c>
      <c r="J345" s="404">
        <f t="shared" si="81"/>
        <v>19119</v>
      </c>
      <c r="K345" s="404">
        <f t="shared" si="81"/>
        <v>0</v>
      </c>
      <c r="L345" s="404">
        <f t="shared" si="81"/>
        <v>459686</v>
      </c>
      <c r="M345" s="404" t="e">
        <f>'03'!#REF!+'04'!#REF!</f>
        <v>#REF!</v>
      </c>
      <c r="N345" s="404" t="e">
        <f>C345-M345</f>
        <v>#REF!</v>
      </c>
      <c r="O345" s="404" t="e">
        <f>'07'!#REF!</f>
        <v>#REF!</v>
      </c>
      <c r="P345" s="404" t="e">
        <f>C345-O345</f>
        <v>#REF!</v>
      </c>
    </row>
    <row r="346" spans="1:16" ht="24.75" customHeight="1" hidden="1">
      <c r="A346" s="428">
        <v>1</v>
      </c>
      <c r="B346" s="429" t="s">
        <v>132</v>
      </c>
      <c r="C346" s="404">
        <f>D346+K346+L346</f>
        <v>293359</v>
      </c>
      <c r="D346" s="404">
        <f>E346+F346+G346+H346+I346+J346</f>
        <v>146432</v>
      </c>
      <c r="E346" s="406">
        <v>17635</v>
      </c>
      <c r="F346" s="406"/>
      <c r="G346" s="406">
        <v>127097</v>
      </c>
      <c r="H346" s="406">
        <v>1700</v>
      </c>
      <c r="I346" s="406"/>
      <c r="J346" s="406"/>
      <c r="K346" s="406"/>
      <c r="L346" s="406">
        <v>146927</v>
      </c>
      <c r="M346" s="406" t="e">
        <f>'03'!#REF!+'04'!#REF!</f>
        <v>#REF!</v>
      </c>
      <c r="N346" s="406" t="e">
        <f aca="true" t="shared" si="82" ref="N346:N360">C346-M346</f>
        <v>#REF!</v>
      </c>
      <c r="O346" s="406" t="e">
        <f>'07'!#REF!</f>
        <v>#REF!</v>
      </c>
      <c r="P346" s="406" t="e">
        <f aca="true" t="shared" si="83" ref="P346:P360">C346-O346</f>
        <v>#REF!</v>
      </c>
    </row>
    <row r="347" spans="1:16" ht="24.75" customHeight="1" hidden="1">
      <c r="A347" s="428">
        <v>2</v>
      </c>
      <c r="B347" s="429" t="s">
        <v>133</v>
      </c>
      <c r="C347" s="404">
        <f>D347+K347+L347</f>
        <v>382672</v>
      </c>
      <c r="D347" s="404">
        <f>E347+F347+G347+H347+I347+J347</f>
        <v>69913</v>
      </c>
      <c r="E347" s="406">
        <v>24451</v>
      </c>
      <c r="F347" s="406"/>
      <c r="G347" s="406"/>
      <c r="H347" s="406">
        <v>23043</v>
      </c>
      <c r="I347" s="406">
        <v>3300</v>
      </c>
      <c r="J347" s="406">
        <v>19119</v>
      </c>
      <c r="K347" s="406"/>
      <c r="L347" s="406">
        <v>312759</v>
      </c>
      <c r="M347" s="406" t="e">
        <f>'03'!#REF!+'04'!#REF!</f>
        <v>#REF!</v>
      </c>
      <c r="N347" s="406" t="e">
        <f t="shared" si="82"/>
        <v>#REF!</v>
      </c>
      <c r="O347" s="406" t="e">
        <f>'07'!#REF!</f>
        <v>#REF!</v>
      </c>
      <c r="P347" s="406" t="e">
        <f t="shared" si="83"/>
        <v>#REF!</v>
      </c>
    </row>
    <row r="348" spans="1:16" ht="24.75" customHeight="1" hidden="1">
      <c r="A348" s="394" t="s">
        <v>1</v>
      </c>
      <c r="B348" s="395" t="s">
        <v>134</v>
      </c>
      <c r="C348" s="404">
        <f>D348+K348+L348</f>
        <v>75600</v>
      </c>
      <c r="D348" s="404">
        <f>E348+F348+G348+H348+I348+J348</f>
        <v>8470</v>
      </c>
      <c r="E348" s="406">
        <v>8470</v>
      </c>
      <c r="F348" s="406"/>
      <c r="G348" s="406"/>
      <c r="H348" s="406"/>
      <c r="I348" s="406"/>
      <c r="J348" s="406"/>
      <c r="K348" s="406"/>
      <c r="L348" s="406">
        <v>67130</v>
      </c>
      <c r="M348" s="406" t="e">
        <f>'03'!#REF!+'04'!#REF!</f>
        <v>#REF!</v>
      </c>
      <c r="N348" s="406" t="e">
        <f t="shared" si="82"/>
        <v>#REF!</v>
      </c>
      <c r="O348" s="406" t="e">
        <f>'07'!#REF!</f>
        <v>#REF!</v>
      </c>
      <c r="P348" s="406" t="e">
        <f t="shared" si="83"/>
        <v>#REF!</v>
      </c>
    </row>
    <row r="349" spans="1:16" ht="24.75" customHeight="1" hidden="1">
      <c r="A349" s="394" t="s">
        <v>9</v>
      </c>
      <c r="B349" s="395" t="s">
        <v>135</v>
      </c>
      <c r="C349" s="404">
        <f>D349+K349+L349</f>
        <v>0</v>
      </c>
      <c r="D349" s="404">
        <f>E349+F349+G349+H349+I349+J349</f>
        <v>0</v>
      </c>
      <c r="E349" s="406"/>
      <c r="F349" s="406"/>
      <c r="G349" s="406"/>
      <c r="H349" s="406"/>
      <c r="I349" s="406"/>
      <c r="J349" s="406"/>
      <c r="K349" s="406"/>
      <c r="L349" s="406"/>
      <c r="M349" s="406" t="e">
        <f>'03'!#REF!+'04'!#REF!</f>
        <v>#REF!</v>
      </c>
      <c r="N349" s="406" t="e">
        <f t="shared" si="82"/>
        <v>#REF!</v>
      </c>
      <c r="O349" s="406" t="e">
        <f>'07'!#REF!</f>
        <v>#REF!</v>
      </c>
      <c r="P349" s="406" t="e">
        <f t="shared" si="83"/>
        <v>#REF!</v>
      </c>
    </row>
    <row r="350" spans="1:16" ht="24.75" customHeight="1" hidden="1">
      <c r="A350" s="394" t="s">
        <v>136</v>
      </c>
      <c r="B350" s="395" t="s">
        <v>137</v>
      </c>
      <c r="C350" s="404">
        <f>C351+C360</f>
        <v>600431</v>
      </c>
      <c r="D350" s="404">
        <f aca="true" t="shared" si="84" ref="D350:L350">D351+D360</f>
        <v>207875</v>
      </c>
      <c r="E350" s="404">
        <f t="shared" si="84"/>
        <v>33616</v>
      </c>
      <c r="F350" s="404">
        <f t="shared" si="84"/>
        <v>0</v>
      </c>
      <c r="G350" s="404">
        <f t="shared" si="84"/>
        <v>127097</v>
      </c>
      <c r="H350" s="404">
        <f t="shared" si="84"/>
        <v>24743</v>
      </c>
      <c r="I350" s="404">
        <f t="shared" si="84"/>
        <v>3300</v>
      </c>
      <c r="J350" s="404">
        <f t="shared" si="84"/>
        <v>19119</v>
      </c>
      <c r="K350" s="404">
        <f t="shared" si="84"/>
        <v>0</v>
      </c>
      <c r="L350" s="404">
        <f t="shared" si="84"/>
        <v>392556</v>
      </c>
      <c r="M350" s="404" t="e">
        <f>'03'!#REF!+'04'!#REF!</f>
        <v>#REF!</v>
      </c>
      <c r="N350" s="404" t="e">
        <f t="shared" si="82"/>
        <v>#REF!</v>
      </c>
      <c r="O350" s="404" t="e">
        <f>'07'!#REF!</f>
        <v>#REF!</v>
      </c>
      <c r="P350" s="404" t="e">
        <f t="shared" si="83"/>
        <v>#REF!</v>
      </c>
    </row>
    <row r="351" spans="1:16" ht="24.75" customHeight="1" hidden="1">
      <c r="A351" s="394" t="s">
        <v>52</v>
      </c>
      <c r="B351" s="430" t="s">
        <v>138</v>
      </c>
      <c r="C351" s="404">
        <f>SUM(C352:C359)</f>
        <v>455899</v>
      </c>
      <c r="D351" s="404">
        <f aca="true" t="shared" si="85" ref="D351:L351">SUM(D352:D359)</f>
        <v>63343</v>
      </c>
      <c r="E351" s="404">
        <f t="shared" si="85"/>
        <v>16181</v>
      </c>
      <c r="F351" s="404">
        <f t="shared" si="85"/>
        <v>0</v>
      </c>
      <c r="G351" s="404">
        <f t="shared" si="85"/>
        <v>0</v>
      </c>
      <c r="H351" s="404">
        <f t="shared" si="85"/>
        <v>24743</v>
      </c>
      <c r="I351" s="404">
        <f t="shared" si="85"/>
        <v>3300</v>
      </c>
      <c r="J351" s="404">
        <f t="shared" si="85"/>
        <v>19119</v>
      </c>
      <c r="K351" s="404">
        <f t="shared" si="85"/>
        <v>0</v>
      </c>
      <c r="L351" s="404">
        <f t="shared" si="85"/>
        <v>392556</v>
      </c>
      <c r="M351" s="404" t="e">
        <f>'03'!#REF!+'04'!#REF!</f>
        <v>#REF!</v>
      </c>
      <c r="N351" s="404" t="e">
        <f t="shared" si="82"/>
        <v>#REF!</v>
      </c>
      <c r="O351" s="404" t="e">
        <f>'07'!#REF!</f>
        <v>#REF!</v>
      </c>
      <c r="P351" s="404" t="e">
        <f t="shared" si="83"/>
        <v>#REF!</v>
      </c>
    </row>
    <row r="352" spans="1:16" ht="24.75" customHeight="1" hidden="1">
      <c r="A352" s="428" t="s">
        <v>54</v>
      </c>
      <c r="B352" s="429" t="s">
        <v>139</v>
      </c>
      <c r="C352" s="404">
        <f aca="true" t="shared" si="86" ref="C352:C360">D352+K352+L352</f>
        <v>75443</v>
      </c>
      <c r="D352" s="404">
        <f aca="true" t="shared" si="87" ref="D352:D360">E352+F352+G352+H352+I352+J352</f>
        <v>61443</v>
      </c>
      <c r="E352" s="406">
        <v>15981</v>
      </c>
      <c r="F352" s="406"/>
      <c r="G352" s="406"/>
      <c r="H352" s="406">
        <v>23043</v>
      </c>
      <c r="I352" s="406">
        <v>3300</v>
      </c>
      <c r="J352" s="406">
        <v>19119</v>
      </c>
      <c r="K352" s="406"/>
      <c r="L352" s="406">
        <v>14000</v>
      </c>
      <c r="M352" s="406" t="e">
        <f>'03'!#REF!+'04'!#REF!</f>
        <v>#REF!</v>
      </c>
      <c r="N352" s="406" t="e">
        <f t="shared" si="82"/>
        <v>#REF!</v>
      </c>
      <c r="O352" s="406" t="e">
        <f>'07'!#REF!</f>
        <v>#REF!</v>
      </c>
      <c r="P352" s="406" t="e">
        <f t="shared" si="83"/>
        <v>#REF!</v>
      </c>
    </row>
    <row r="353" spans="1:16" ht="24.75" customHeight="1" hidden="1">
      <c r="A353" s="428" t="s">
        <v>55</v>
      </c>
      <c r="B353" s="429" t="s">
        <v>140</v>
      </c>
      <c r="C353" s="404">
        <f t="shared" si="86"/>
        <v>0</v>
      </c>
      <c r="D353" s="404">
        <f t="shared" si="87"/>
        <v>0</v>
      </c>
      <c r="E353" s="406"/>
      <c r="F353" s="406"/>
      <c r="G353" s="406"/>
      <c r="H353" s="406"/>
      <c r="I353" s="406"/>
      <c r="J353" s="406"/>
      <c r="K353" s="406"/>
      <c r="L353" s="406"/>
      <c r="M353" s="406" t="e">
        <f>'03'!#REF!+'04'!#REF!</f>
        <v>#REF!</v>
      </c>
      <c r="N353" s="406" t="e">
        <f t="shared" si="82"/>
        <v>#REF!</v>
      </c>
      <c r="O353" s="406" t="e">
        <f>'07'!#REF!</f>
        <v>#REF!</v>
      </c>
      <c r="P353" s="406" t="e">
        <f t="shared" si="83"/>
        <v>#REF!</v>
      </c>
    </row>
    <row r="354" spans="1:16" ht="24.75" customHeight="1" hidden="1">
      <c r="A354" s="428" t="s">
        <v>141</v>
      </c>
      <c r="B354" s="429" t="s">
        <v>202</v>
      </c>
      <c r="C354" s="404">
        <f t="shared" si="86"/>
        <v>0</v>
      </c>
      <c r="D354" s="404">
        <f t="shared" si="87"/>
        <v>0</v>
      </c>
      <c r="E354" s="406"/>
      <c r="F354" s="406"/>
      <c r="G354" s="406"/>
      <c r="H354" s="406"/>
      <c r="I354" s="406"/>
      <c r="J354" s="406"/>
      <c r="K354" s="406"/>
      <c r="L354" s="406"/>
      <c r="M354" s="406" t="e">
        <f>'03'!#REF!</f>
        <v>#REF!</v>
      </c>
      <c r="N354" s="406" t="e">
        <f t="shared" si="82"/>
        <v>#REF!</v>
      </c>
      <c r="O354" s="406" t="e">
        <f>'07'!#REF!</f>
        <v>#REF!</v>
      </c>
      <c r="P354" s="406" t="e">
        <f t="shared" si="83"/>
        <v>#REF!</v>
      </c>
    </row>
    <row r="355" spans="1:16" ht="24.75" customHeight="1" hidden="1">
      <c r="A355" s="428" t="s">
        <v>143</v>
      </c>
      <c r="B355" s="429" t="s">
        <v>142</v>
      </c>
      <c r="C355" s="404">
        <f t="shared" si="86"/>
        <v>253354</v>
      </c>
      <c r="D355" s="404">
        <f t="shared" si="87"/>
        <v>1900</v>
      </c>
      <c r="E355" s="406">
        <v>200</v>
      </c>
      <c r="F355" s="406"/>
      <c r="G355" s="406"/>
      <c r="H355" s="406">
        <v>1700</v>
      </c>
      <c r="I355" s="406"/>
      <c r="J355" s="406"/>
      <c r="K355" s="406"/>
      <c r="L355" s="406">
        <v>251454</v>
      </c>
      <c r="M355" s="406" t="e">
        <f>'03'!#REF!+'04'!#REF!</f>
        <v>#REF!</v>
      </c>
      <c r="N355" s="406" t="e">
        <f t="shared" si="82"/>
        <v>#REF!</v>
      </c>
      <c r="O355" s="406" t="e">
        <f>'07'!#REF!</f>
        <v>#REF!</v>
      </c>
      <c r="P355" s="406" t="e">
        <f t="shared" si="83"/>
        <v>#REF!</v>
      </c>
    </row>
    <row r="356" spans="1:16" ht="24.75" customHeight="1" hidden="1">
      <c r="A356" s="428" t="s">
        <v>145</v>
      </c>
      <c r="B356" s="429" t="s">
        <v>144</v>
      </c>
      <c r="C356" s="404">
        <f t="shared" si="86"/>
        <v>0</v>
      </c>
      <c r="D356" s="404">
        <f t="shared" si="87"/>
        <v>0</v>
      </c>
      <c r="E356" s="406"/>
      <c r="F356" s="406"/>
      <c r="G356" s="406"/>
      <c r="H356" s="406"/>
      <c r="I356" s="406"/>
      <c r="J356" s="406"/>
      <c r="K356" s="406"/>
      <c r="L356" s="406"/>
      <c r="M356" s="406" t="e">
        <f>'03'!#REF!+'04'!#REF!</f>
        <v>#REF!</v>
      </c>
      <c r="N356" s="406" t="e">
        <f t="shared" si="82"/>
        <v>#REF!</v>
      </c>
      <c r="O356" s="406" t="e">
        <f>'07'!#REF!</f>
        <v>#REF!</v>
      </c>
      <c r="P356" s="406" t="e">
        <f t="shared" si="83"/>
        <v>#REF!</v>
      </c>
    </row>
    <row r="357" spans="1:16" ht="24.75" customHeight="1" hidden="1">
      <c r="A357" s="428" t="s">
        <v>147</v>
      </c>
      <c r="B357" s="429" t="s">
        <v>146</v>
      </c>
      <c r="C357" s="404">
        <f t="shared" si="86"/>
        <v>0</v>
      </c>
      <c r="D357" s="404">
        <f t="shared" si="87"/>
        <v>0</v>
      </c>
      <c r="E357" s="406"/>
      <c r="F357" s="406"/>
      <c r="G357" s="406"/>
      <c r="H357" s="406"/>
      <c r="I357" s="406"/>
      <c r="J357" s="406"/>
      <c r="K357" s="406"/>
      <c r="L357" s="406"/>
      <c r="M357" s="406" t="e">
        <f>'03'!#REF!+'04'!#REF!</f>
        <v>#REF!</v>
      </c>
      <c r="N357" s="406" t="e">
        <f t="shared" si="82"/>
        <v>#REF!</v>
      </c>
      <c r="O357" s="406" t="e">
        <f>'07'!#REF!</f>
        <v>#REF!</v>
      </c>
      <c r="P357" s="406" t="e">
        <f t="shared" si="83"/>
        <v>#REF!</v>
      </c>
    </row>
    <row r="358" spans="1:16" ht="24.75" customHeight="1" hidden="1">
      <c r="A358" s="428" t="s">
        <v>149</v>
      </c>
      <c r="B358" s="431" t="s">
        <v>148</v>
      </c>
      <c r="C358" s="404">
        <f t="shared" si="86"/>
        <v>0</v>
      </c>
      <c r="D358" s="404">
        <f t="shared" si="87"/>
        <v>0</v>
      </c>
      <c r="E358" s="406"/>
      <c r="F358" s="406"/>
      <c r="G358" s="406"/>
      <c r="H358" s="406"/>
      <c r="I358" s="406"/>
      <c r="J358" s="406"/>
      <c r="K358" s="406"/>
      <c r="L358" s="406"/>
      <c r="M358" s="406" t="e">
        <f>'03'!#REF!+'04'!#REF!</f>
        <v>#REF!</v>
      </c>
      <c r="N358" s="406" t="e">
        <f t="shared" si="82"/>
        <v>#REF!</v>
      </c>
      <c r="O358" s="406" t="e">
        <f>'07'!#REF!</f>
        <v>#REF!</v>
      </c>
      <c r="P358" s="406" t="e">
        <f t="shared" si="83"/>
        <v>#REF!</v>
      </c>
    </row>
    <row r="359" spans="1:16" ht="24.75" customHeight="1" hidden="1">
      <c r="A359" s="428" t="s">
        <v>186</v>
      </c>
      <c r="B359" s="429" t="s">
        <v>150</v>
      </c>
      <c r="C359" s="404">
        <f t="shared" si="86"/>
        <v>127102</v>
      </c>
      <c r="D359" s="404">
        <f t="shared" si="87"/>
        <v>0</v>
      </c>
      <c r="E359" s="406"/>
      <c r="F359" s="406"/>
      <c r="G359" s="406"/>
      <c r="H359" s="406"/>
      <c r="I359" s="406"/>
      <c r="J359" s="406"/>
      <c r="K359" s="406"/>
      <c r="L359" s="406">
        <v>127102</v>
      </c>
      <c r="M359" s="406" t="e">
        <f>'03'!#REF!+'04'!#REF!</f>
        <v>#REF!</v>
      </c>
      <c r="N359" s="406" t="e">
        <f t="shared" si="82"/>
        <v>#REF!</v>
      </c>
      <c r="O359" s="406" t="e">
        <f>'07'!#REF!</f>
        <v>#REF!</v>
      </c>
      <c r="P359" s="406" t="e">
        <f t="shared" si="83"/>
        <v>#REF!</v>
      </c>
    </row>
    <row r="360" spans="1:16" ht="24.75" customHeight="1" hidden="1">
      <c r="A360" s="394" t="s">
        <v>53</v>
      </c>
      <c r="B360" s="395" t="s">
        <v>151</v>
      </c>
      <c r="C360" s="404">
        <f t="shared" si="86"/>
        <v>144532</v>
      </c>
      <c r="D360" s="404">
        <f t="shared" si="87"/>
        <v>144532</v>
      </c>
      <c r="E360" s="406">
        <v>17435</v>
      </c>
      <c r="F360" s="406"/>
      <c r="G360" s="406">
        <v>127097</v>
      </c>
      <c r="H360" s="406"/>
      <c r="I360" s="406"/>
      <c r="J360" s="406"/>
      <c r="K360" s="406"/>
      <c r="L360" s="406"/>
      <c r="M360" s="404" t="e">
        <f>'03'!#REF!+'04'!#REF!</f>
        <v>#REF!</v>
      </c>
      <c r="N360" s="404" t="e">
        <f t="shared" si="82"/>
        <v>#REF!</v>
      </c>
      <c r="O360" s="404" t="e">
        <f>'07'!#REF!</f>
        <v>#REF!</v>
      </c>
      <c r="P360" s="404" t="e">
        <f t="shared" si="83"/>
        <v>#REF!</v>
      </c>
    </row>
    <row r="361" spans="1:16" ht="24.75" customHeight="1" hidden="1">
      <c r="A361" s="452" t="s">
        <v>76</v>
      </c>
      <c r="B361" s="477" t="s">
        <v>215</v>
      </c>
      <c r="C361" s="461">
        <f>(C352+C353+C354)/C351</f>
        <v>0.16548182821195045</v>
      </c>
      <c r="D361" s="396">
        <f aca="true" t="shared" si="88" ref="D361:L361">(D352+D353+D354)/D351</f>
        <v>0.9700045782485831</v>
      </c>
      <c r="E361" s="412">
        <f t="shared" si="88"/>
        <v>0.9876398244855077</v>
      </c>
      <c r="F361" s="412" t="e">
        <f t="shared" si="88"/>
        <v>#DIV/0!</v>
      </c>
      <c r="G361" s="412" t="e">
        <f t="shared" si="88"/>
        <v>#DIV/0!</v>
      </c>
      <c r="H361" s="412">
        <f t="shared" si="88"/>
        <v>0.9312936992280645</v>
      </c>
      <c r="I361" s="412">
        <f t="shared" si="88"/>
        <v>1</v>
      </c>
      <c r="J361" s="412">
        <f t="shared" si="88"/>
        <v>1</v>
      </c>
      <c r="K361" s="412" t="e">
        <f t="shared" si="88"/>
        <v>#DIV/0!</v>
      </c>
      <c r="L361" s="412">
        <f t="shared" si="88"/>
        <v>0.03566370148462895</v>
      </c>
      <c r="M361" s="422"/>
      <c r="N361" s="478"/>
      <c r="O361" s="478"/>
      <c r="P361" s="478"/>
    </row>
    <row r="362" spans="1:16" ht="17.25" hidden="1">
      <c r="A362" s="1548" t="s">
        <v>498</v>
      </c>
      <c r="B362" s="1548"/>
      <c r="C362" s="406">
        <f>C345-C348-C349-C350</f>
        <v>0</v>
      </c>
      <c r="D362" s="406">
        <f aca="true" t="shared" si="89" ref="D362:L362">D345-D348-D349-D350</f>
        <v>0</v>
      </c>
      <c r="E362" s="406">
        <f t="shared" si="89"/>
        <v>0</v>
      </c>
      <c r="F362" s="406">
        <f t="shared" si="89"/>
        <v>0</v>
      </c>
      <c r="G362" s="406">
        <f t="shared" si="89"/>
        <v>0</v>
      </c>
      <c r="H362" s="406">
        <f t="shared" si="89"/>
        <v>0</v>
      </c>
      <c r="I362" s="406">
        <f t="shared" si="89"/>
        <v>0</v>
      </c>
      <c r="J362" s="406">
        <f t="shared" si="89"/>
        <v>0</v>
      </c>
      <c r="K362" s="406">
        <f t="shared" si="89"/>
        <v>0</v>
      </c>
      <c r="L362" s="406">
        <f t="shared" si="89"/>
        <v>0</v>
      </c>
      <c r="M362" s="422"/>
      <c r="N362" s="478"/>
      <c r="O362" s="478"/>
      <c r="P362" s="478"/>
    </row>
    <row r="363" spans="1:16" ht="17.25" hidden="1">
      <c r="A363" s="1549" t="s">
        <v>499</v>
      </c>
      <c r="B363" s="1549"/>
      <c r="C363" s="406">
        <f>C350-C351-C360</f>
        <v>0</v>
      </c>
      <c r="D363" s="406">
        <f aca="true" t="shared" si="90" ref="D363:L363">D350-D351-D360</f>
        <v>0</v>
      </c>
      <c r="E363" s="406">
        <f t="shared" si="90"/>
        <v>0</v>
      </c>
      <c r="F363" s="406">
        <f t="shared" si="90"/>
        <v>0</v>
      </c>
      <c r="G363" s="406">
        <f t="shared" si="90"/>
        <v>0</v>
      </c>
      <c r="H363" s="406">
        <f t="shared" si="90"/>
        <v>0</v>
      </c>
      <c r="I363" s="406">
        <f t="shared" si="90"/>
        <v>0</v>
      </c>
      <c r="J363" s="406">
        <f t="shared" si="90"/>
        <v>0</v>
      </c>
      <c r="K363" s="406">
        <f t="shared" si="90"/>
        <v>0</v>
      </c>
      <c r="L363" s="406">
        <f t="shared" si="90"/>
        <v>0</v>
      </c>
      <c r="M363" s="422"/>
      <c r="N363" s="478"/>
      <c r="O363" s="478"/>
      <c r="P363" s="478"/>
    </row>
    <row r="364" spans="1:16" ht="18.75" hidden="1">
      <c r="A364" s="463"/>
      <c r="B364" s="479" t="s">
        <v>518</v>
      </c>
      <c r="C364" s="479"/>
      <c r="D364" s="453"/>
      <c r="E364" s="453"/>
      <c r="F364" s="453"/>
      <c r="G364" s="1575" t="s">
        <v>518</v>
      </c>
      <c r="H364" s="1575"/>
      <c r="I364" s="1575"/>
      <c r="J364" s="1575"/>
      <c r="K364" s="1575"/>
      <c r="L364" s="1575"/>
      <c r="M364" s="466"/>
      <c r="N364" s="466"/>
      <c r="O364" s="466"/>
      <c r="P364" s="466"/>
    </row>
    <row r="365" spans="1:16" ht="18.75" hidden="1">
      <c r="A365" s="1576" t="s">
        <v>4</v>
      </c>
      <c r="B365" s="1576"/>
      <c r="C365" s="1576"/>
      <c r="D365" s="1576"/>
      <c r="E365" s="453"/>
      <c r="F365" s="453"/>
      <c r="G365" s="480"/>
      <c r="H365" s="1577" t="s">
        <v>519</v>
      </c>
      <c r="I365" s="1577"/>
      <c r="J365" s="1577"/>
      <c r="K365" s="1577"/>
      <c r="L365" s="1577"/>
      <c r="M365" s="466"/>
      <c r="N365" s="466"/>
      <c r="O365" s="466"/>
      <c r="P365" s="466"/>
    </row>
    <row r="366" ht="15" hidden="1"/>
    <row r="367" ht="15" hidden="1"/>
    <row r="368" ht="15" hidden="1"/>
    <row r="369" ht="15" hidden="1"/>
    <row r="370" ht="15" hidden="1"/>
    <row r="371" ht="15" hidden="1"/>
    <row r="372" ht="15" hidden="1"/>
    <row r="373" ht="15" hidden="1"/>
    <row r="374" ht="15" hidden="1"/>
    <row r="375" ht="15" hidden="1"/>
    <row r="376" ht="15" hidden="1"/>
    <row r="377" ht="15" hidden="1"/>
    <row r="378" spans="1:13" ht="16.5" hidden="1">
      <c r="A378" s="1560" t="s">
        <v>33</v>
      </c>
      <c r="B378" s="1561"/>
      <c r="C378" s="462"/>
      <c r="D378" s="1537" t="s">
        <v>79</v>
      </c>
      <c r="E378" s="1537"/>
      <c r="F378" s="1537"/>
      <c r="G378" s="1537"/>
      <c r="H378" s="1537"/>
      <c r="I378" s="1537"/>
      <c r="J378" s="1537"/>
      <c r="K378" s="1562"/>
      <c r="L378" s="1562"/>
      <c r="M378" s="466"/>
    </row>
    <row r="379" spans="1:13" ht="16.5" hidden="1">
      <c r="A379" s="1526" t="s">
        <v>342</v>
      </c>
      <c r="B379" s="1526"/>
      <c r="C379" s="1526"/>
      <c r="D379" s="1537" t="s">
        <v>216</v>
      </c>
      <c r="E379" s="1537"/>
      <c r="F379" s="1537"/>
      <c r="G379" s="1537"/>
      <c r="H379" s="1537"/>
      <c r="I379" s="1537"/>
      <c r="J379" s="1537"/>
      <c r="K379" s="1574" t="s">
        <v>513</v>
      </c>
      <c r="L379" s="1574"/>
      <c r="M379" s="463"/>
    </row>
    <row r="380" spans="1:13" ht="16.5" hidden="1">
      <c r="A380" s="1526" t="s">
        <v>343</v>
      </c>
      <c r="B380" s="1526"/>
      <c r="C380" s="413"/>
      <c r="D380" s="1541" t="s">
        <v>11</v>
      </c>
      <c r="E380" s="1541"/>
      <c r="F380" s="1541"/>
      <c r="G380" s="1541"/>
      <c r="H380" s="1541"/>
      <c r="I380" s="1541"/>
      <c r="J380" s="1541"/>
      <c r="K380" s="1562"/>
      <c r="L380" s="1562"/>
      <c r="M380" s="466"/>
    </row>
    <row r="381" spans="1:13" ht="15.75" hidden="1">
      <c r="A381" s="432" t="s">
        <v>119</v>
      </c>
      <c r="B381" s="432"/>
      <c r="C381" s="418"/>
      <c r="D381" s="467"/>
      <c r="E381" s="467"/>
      <c r="F381" s="468"/>
      <c r="G381" s="468"/>
      <c r="H381" s="468"/>
      <c r="I381" s="468"/>
      <c r="J381" s="468"/>
      <c r="K381" s="1578"/>
      <c r="L381" s="1578"/>
      <c r="M381" s="463"/>
    </row>
    <row r="382" spans="1:13" ht="15.75" hidden="1">
      <c r="A382" s="467"/>
      <c r="B382" s="467" t="s">
        <v>94</v>
      </c>
      <c r="C382" s="406">
        <v>2566605</v>
      </c>
      <c r="D382" s="406">
        <v>891117</v>
      </c>
      <c r="E382" s="406">
        <v>322557</v>
      </c>
      <c r="F382" s="406"/>
      <c r="G382" s="406">
        <v>305560</v>
      </c>
      <c r="H382" s="406"/>
      <c r="I382" s="406">
        <v>263000</v>
      </c>
      <c r="J382" s="406"/>
      <c r="K382" s="406">
        <v>1675488</v>
      </c>
      <c r="L382" s="406"/>
      <c r="M382" s="463"/>
    </row>
    <row r="383" spans="1:13" ht="15.75" hidden="1">
      <c r="A383" s="1256" t="s">
        <v>71</v>
      </c>
      <c r="B383" s="1257"/>
      <c r="C383" s="1542" t="s">
        <v>38</v>
      </c>
      <c r="D383" s="1564" t="s">
        <v>339</v>
      </c>
      <c r="E383" s="1564"/>
      <c r="F383" s="1564"/>
      <c r="G383" s="1564"/>
      <c r="H383" s="1564"/>
      <c r="I383" s="1564"/>
      <c r="J383" s="1564"/>
      <c r="K383" s="1564"/>
      <c r="L383" s="1564"/>
      <c r="M383" s="466"/>
    </row>
    <row r="384" spans="1:13" ht="15.75" hidden="1">
      <c r="A384" s="1258"/>
      <c r="B384" s="1259"/>
      <c r="C384" s="1542"/>
      <c r="D384" s="1579" t="s">
        <v>207</v>
      </c>
      <c r="E384" s="1580"/>
      <c r="F384" s="1580"/>
      <c r="G384" s="1580"/>
      <c r="H384" s="1580"/>
      <c r="I384" s="1580"/>
      <c r="J384" s="1581"/>
      <c r="K384" s="1582" t="s">
        <v>208</v>
      </c>
      <c r="L384" s="1582" t="s">
        <v>209</v>
      </c>
      <c r="M384" s="463"/>
    </row>
    <row r="385" spans="1:13" ht="15.75" hidden="1">
      <c r="A385" s="1258"/>
      <c r="B385" s="1259"/>
      <c r="C385" s="1542"/>
      <c r="D385" s="1587" t="s">
        <v>37</v>
      </c>
      <c r="E385" s="1588" t="s">
        <v>7</v>
      </c>
      <c r="F385" s="1589"/>
      <c r="G385" s="1589"/>
      <c r="H385" s="1589"/>
      <c r="I385" s="1589"/>
      <c r="J385" s="1590"/>
      <c r="K385" s="1583"/>
      <c r="L385" s="1585"/>
      <c r="M385" s="463"/>
    </row>
    <row r="386" spans="1:16" ht="15.75" hidden="1">
      <c r="A386" s="1546"/>
      <c r="B386" s="1547"/>
      <c r="C386" s="1542"/>
      <c r="D386" s="1587"/>
      <c r="E386" s="469" t="s">
        <v>210</v>
      </c>
      <c r="F386" s="469" t="s">
        <v>211</v>
      </c>
      <c r="G386" s="469" t="s">
        <v>212</v>
      </c>
      <c r="H386" s="469" t="s">
        <v>213</v>
      </c>
      <c r="I386" s="469" t="s">
        <v>344</v>
      </c>
      <c r="J386" s="469" t="s">
        <v>214</v>
      </c>
      <c r="K386" s="1584"/>
      <c r="L386" s="1586"/>
      <c r="M386" s="1540" t="s">
        <v>500</v>
      </c>
      <c r="N386" s="1540"/>
      <c r="O386" s="1540"/>
      <c r="P386" s="1540"/>
    </row>
    <row r="387" spans="1:16" ht="15" hidden="1">
      <c r="A387" s="1544" t="s">
        <v>6</v>
      </c>
      <c r="B387" s="1545"/>
      <c r="C387" s="470">
        <v>1</v>
      </c>
      <c r="D387" s="471">
        <v>2</v>
      </c>
      <c r="E387" s="470">
        <v>3</v>
      </c>
      <c r="F387" s="471">
        <v>4</v>
      </c>
      <c r="G387" s="470">
        <v>5</v>
      </c>
      <c r="H387" s="471">
        <v>6</v>
      </c>
      <c r="I387" s="470">
        <v>7</v>
      </c>
      <c r="J387" s="471">
        <v>8</v>
      </c>
      <c r="K387" s="470">
        <v>9</v>
      </c>
      <c r="L387" s="471">
        <v>10</v>
      </c>
      <c r="M387" s="472" t="s">
        <v>501</v>
      </c>
      <c r="N387" s="473" t="s">
        <v>504</v>
      </c>
      <c r="O387" s="473" t="s">
        <v>502</v>
      </c>
      <c r="P387" s="473" t="s">
        <v>503</v>
      </c>
    </row>
    <row r="388" spans="1:16" ht="24.75" customHeight="1" hidden="1">
      <c r="A388" s="425" t="s">
        <v>0</v>
      </c>
      <c r="B388" s="426" t="s">
        <v>131</v>
      </c>
      <c r="C388" s="404">
        <f>C389+C390</f>
        <v>6961324</v>
      </c>
      <c r="D388" s="404">
        <f aca="true" t="shared" si="91" ref="D388:L388">D389+D390</f>
        <v>1160486</v>
      </c>
      <c r="E388" s="404">
        <f t="shared" si="91"/>
        <v>331649</v>
      </c>
      <c r="F388" s="404">
        <f t="shared" si="91"/>
        <v>0</v>
      </c>
      <c r="G388" s="404">
        <f t="shared" si="91"/>
        <v>382410</v>
      </c>
      <c r="H388" s="404">
        <f t="shared" si="91"/>
        <v>109701</v>
      </c>
      <c r="I388" s="404">
        <f t="shared" si="91"/>
        <v>278351</v>
      </c>
      <c r="J388" s="404">
        <f t="shared" si="91"/>
        <v>58375</v>
      </c>
      <c r="K388" s="404">
        <f t="shared" si="91"/>
        <v>0</v>
      </c>
      <c r="L388" s="404">
        <f t="shared" si="91"/>
        <v>5800838</v>
      </c>
      <c r="M388" s="404" t="e">
        <f>'03'!#REF!+'04'!#REF!</f>
        <v>#REF!</v>
      </c>
      <c r="N388" s="404" t="e">
        <f>C388-M388</f>
        <v>#REF!</v>
      </c>
      <c r="O388" s="404" t="e">
        <f>'07'!#REF!</f>
        <v>#REF!</v>
      </c>
      <c r="P388" s="404" t="e">
        <f>C388-O388</f>
        <v>#REF!</v>
      </c>
    </row>
    <row r="389" spans="1:16" ht="24.75" customHeight="1" hidden="1">
      <c r="A389" s="428">
        <v>1</v>
      </c>
      <c r="B389" s="429" t="s">
        <v>132</v>
      </c>
      <c r="C389" s="404">
        <f>D389+K389+L389</f>
        <v>2566605</v>
      </c>
      <c r="D389" s="404">
        <f>E389+F389+G389+H389+I389+J389</f>
        <v>891117</v>
      </c>
      <c r="E389" s="406">
        <v>322507</v>
      </c>
      <c r="F389" s="406">
        <v>0</v>
      </c>
      <c r="G389" s="406">
        <v>312410</v>
      </c>
      <c r="H389" s="406">
        <v>0</v>
      </c>
      <c r="I389" s="406">
        <v>256200</v>
      </c>
      <c r="J389" s="406">
        <v>0</v>
      </c>
      <c r="K389" s="406">
        <v>0</v>
      </c>
      <c r="L389" s="406">
        <v>1675488</v>
      </c>
      <c r="M389" s="406" t="e">
        <f>'03'!#REF!+'04'!#REF!</f>
        <v>#REF!</v>
      </c>
      <c r="N389" s="406" t="e">
        <f aca="true" t="shared" si="92" ref="N389:N403">C389-M389</f>
        <v>#REF!</v>
      </c>
      <c r="O389" s="406" t="e">
        <f>'07'!#REF!</f>
        <v>#REF!</v>
      </c>
      <c r="P389" s="406" t="e">
        <f aca="true" t="shared" si="93" ref="P389:P403">C389-O389</f>
        <v>#REF!</v>
      </c>
    </row>
    <row r="390" spans="1:16" ht="24.75" customHeight="1" hidden="1">
      <c r="A390" s="428">
        <v>2</v>
      </c>
      <c r="B390" s="429" t="s">
        <v>133</v>
      </c>
      <c r="C390" s="404">
        <f>D390+K390+L390</f>
        <v>4394719</v>
      </c>
      <c r="D390" s="404">
        <f>E390+F390+G390+H390+I390+J390</f>
        <v>269369</v>
      </c>
      <c r="E390" s="406">
        <v>9142</v>
      </c>
      <c r="F390" s="406">
        <v>0</v>
      </c>
      <c r="G390" s="406">
        <v>70000</v>
      </c>
      <c r="H390" s="406">
        <v>109701</v>
      </c>
      <c r="I390" s="406">
        <v>22151</v>
      </c>
      <c r="J390" s="406">
        <v>58375</v>
      </c>
      <c r="K390" s="406">
        <v>0</v>
      </c>
      <c r="L390" s="406">
        <v>4125350</v>
      </c>
      <c r="M390" s="406" t="e">
        <f>'03'!#REF!+'04'!#REF!</f>
        <v>#REF!</v>
      </c>
      <c r="N390" s="406" t="e">
        <f t="shared" si="92"/>
        <v>#REF!</v>
      </c>
      <c r="O390" s="406" t="e">
        <f>'07'!#REF!</f>
        <v>#REF!</v>
      </c>
      <c r="P390" s="406" t="e">
        <f t="shared" si="93"/>
        <v>#REF!</v>
      </c>
    </row>
    <row r="391" spans="1:16" ht="24.75" customHeight="1" hidden="1">
      <c r="A391" s="394" t="s">
        <v>1</v>
      </c>
      <c r="B391" s="395" t="s">
        <v>134</v>
      </c>
      <c r="C391" s="404">
        <f>D391+K391+L391</f>
        <v>950</v>
      </c>
      <c r="D391" s="404">
        <f>E391+F391+G391+H391+I391+J391</f>
        <v>950</v>
      </c>
      <c r="E391" s="406">
        <v>200</v>
      </c>
      <c r="F391" s="406">
        <v>0</v>
      </c>
      <c r="G391" s="406">
        <v>0</v>
      </c>
      <c r="H391" s="406">
        <v>0</v>
      </c>
      <c r="I391" s="406">
        <v>750</v>
      </c>
      <c r="J391" s="406">
        <v>0</v>
      </c>
      <c r="K391" s="406">
        <v>0</v>
      </c>
      <c r="L391" s="406">
        <v>0</v>
      </c>
      <c r="M391" s="406" t="e">
        <f>'03'!#REF!+'04'!#REF!</f>
        <v>#REF!</v>
      </c>
      <c r="N391" s="406" t="e">
        <f t="shared" si="92"/>
        <v>#REF!</v>
      </c>
      <c r="O391" s="406" t="e">
        <f>'07'!#REF!</f>
        <v>#REF!</v>
      </c>
      <c r="P391" s="406" t="e">
        <f t="shared" si="93"/>
        <v>#REF!</v>
      </c>
    </row>
    <row r="392" spans="1:16" ht="24.75" customHeight="1" hidden="1">
      <c r="A392" s="394" t="s">
        <v>9</v>
      </c>
      <c r="B392" s="395" t="s">
        <v>135</v>
      </c>
      <c r="C392" s="404">
        <f>D392+K392+L392</f>
        <v>0</v>
      </c>
      <c r="D392" s="404">
        <f>E392+F392+G392+H392+I392+J392</f>
        <v>0</v>
      </c>
      <c r="E392" s="406">
        <v>0</v>
      </c>
      <c r="F392" s="406">
        <v>0</v>
      </c>
      <c r="G392" s="406">
        <v>0</v>
      </c>
      <c r="H392" s="406">
        <v>0</v>
      </c>
      <c r="I392" s="406">
        <v>0</v>
      </c>
      <c r="J392" s="406">
        <v>0</v>
      </c>
      <c r="K392" s="406">
        <v>0</v>
      </c>
      <c r="L392" s="406">
        <v>0</v>
      </c>
      <c r="M392" s="406" t="e">
        <f>'03'!#REF!+'04'!#REF!</f>
        <v>#REF!</v>
      </c>
      <c r="N392" s="406" t="e">
        <f t="shared" si="92"/>
        <v>#REF!</v>
      </c>
      <c r="O392" s="406" t="e">
        <f>'07'!#REF!</f>
        <v>#REF!</v>
      </c>
      <c r="P392" s="406" t="e">
        <f t="shared" si="93"/>
        <v>#REF!</v>
      </c>
    </row>
    <row r="393" spans="1:16" ht="24.75" customHeight="1" hidden="1">
      <c r="A393" s="394" t="s">
        <v>136</v>
      </c>
      <c r="B393" s="395" t="s">
        <v>137</v>
      </c>
      <c r="C393" s="404">
        <f>C394+C403</f>
        <v>6960374</v>
      </c>
      <c r="D393" s="404">
        <f aca="true" t="shared" si="94" ref="D393:L393">D394+D403</f>
        <v>1159536</v>
      </c>
      <c r="E393" s="404">
        <f t="shared" si="94"/>
        <v>331449</v>
      </c>
      <c r="F393" s="404">
        <f t="shared" si="94"/>
        <v>0</v>
      </c>
      <c r="G393" s="404">
        <f t="shared" si="94"/>
        <v>382410</v>
      </c>
      <c r="H393" s="404">
        <f t="shared" si="94"/>
        <v>109701</v>
      </c>
      <c r="I393" s="404">
        <f t="shared" si="94"/>
        <v>277601</v>
      </c>
      <c r="J393" s="404">
        <f t="shared" si="94"/>
        <v>58375</v>
      </c>
      <c r="K393" s="404">
        <f t="shared" si="94"/>
        <v>0</v>
      </c>
      <c r="L393" s="404">
        <f t="shared" si="94"/>
        <v>5800838</v>
      </c>
      <c r="M393" s="404" t="e">
        <f>'03'!#REF!+'04'!#REF!</f>
        <v>#REF!</v>
      </c>
      <c r="N393" s="404" t="e">
        <f t="shared" si="92"/>
        <v>#REF!</v>
      </c>
      <c r="O393" s="404" t="e">
        <f>'07'!#REF!</f>
        <v>#REF!</v>
      </c>
      <c r="P393" s="404" t="e">
        <f t="shared" si="93"/>
        <v>#REF!</v>
      </c>
    </row>
    <row r="394" spans="1:16" ht="24.75" customHeight="1" hidden="1">
      <c r="A394" s="394" t="s">
        <v>52</v>
      </c>
      <c r="B394" s="430" t="s">
        <v>138</v>
      </c>
      <c r="C394" s="404">
        <f>SUM(C395:C402)</f>
        <v>6284923</v>
      </c>
      <c r="D394" s="404">
        <f aca="true" t="shared" si="95" ref="D394:L394">SUM(D395:D402)</f>
        <v>484085</v>
      </c>
      <c r="E394" s="404">
        <f t="shared" si="95"/>
        <v>254828</v>
      </c>
      <c r="F394" s="404">
        <f t="shared" si="95"/>
        <v>0</v>
      </c>
      <c r="G394" s="404">
        <f t="shared" si="95"/>
        <v>83280</v>
      </c>
      <c r="H394" s="404">
        <f t="shared" si="95"/>
        <v>1201</v>
      </c>
      <c r="I394" s="404">
        <f t="shared" si="95"/>
        <v>86401</v>
      </c>
      <c r="J394" s="404">
        <f t="shared" si="95"/>
        <v>58375</v>
      </c>
      <c r="K394" s="404">
        <f t="shared" si="95"/>
        <v>0</v>
      </c>
      <c r="L394" s="404">
        <f t="shared" si="95"/>
        <v>5800838</v>
      </c>
      <c r="M394" s="404" t="e">
        <f>'03'!#REF!+'04'!#REF!</f>
        <v>#REF!</v>
      </c>
      <c r="N394" s="404" t="e">
        <f t="shared" si="92"/>
        <v>#REF!</v>
      </c>
      <c r="O394" s="404" t="e">
        <f>'07'!#REF!</f>
        <v>#REF!</v>
      </c>
      <c r="P394" s="404" t="e">
        <f t="shared" si="93"/>
        <v>#REF!</v>
      </c>
    </row>
    <row r="395" spans="1:16" ht="24.75" customHeight="1" hidden="1">
      <c r="A395" s="428" t="s">
        <v>54</v>
      </c>
      <c r="B395" s="429" t="s">
        <v>139</v>
      </c>
      <c r="C395" s="404">
        <f aca="true" t="shared" si="96" ref="C395:C403">D395+K395+L395</f>
        <v>88177</v>
      </c>
      <c r="D395" s="404">
        <f aca="true" t="shared" si="97" ref="D395:D403">E395+F395+G395+H395+I395+J395</f>
        <v>75577</v>
      </c>
      <c r="E395" s="406">
        <v>4500</v>
      </c>
      <c r="F395" s="406">
        <v>0</v>
      </c>
      <c r="G395" s="406">
        <v>10000</v>
      </c>
      <c r="H395" s="406">
        <v>1201</v>
      </c>
      <c r="I395" s="406">
        <v>1501</v>
      </c>
      <c r="J395" s="406">
        <v>58375</v>
      </c>
      <c r="K395" s="406">
        <v>0</v>
      </c>
      <c r="L395" s="406">
        <v>12600</v>
      </c>
      <c r="M395" s="406" t="e">
        <f>'03'!#REF!+'04'!#REF!</f>
        <v>#REF!</v>
      </c>
      <c r="N395" s="406" t="e">
        <f t="shared" si="92"/>
        <v>#REF!</v>
      </c>
      <c r="O395" s="406" t="e">
        <f>'07'!#REF!</f>
        <v>#REF!</v>
      </c>
      <c r="P395" s="406" t="e">
        <f t="shared" si="93"/>
        <v>#REF!</v>
      </c>
    </row>
    <row r="396" spans="1:16" ht="24.75" customHeight="1" hidden="1">
      <c r="A396" s="428" t="s">
        <v>55</v>
      </c>
      <c r="B396" s="429" t="s">
        <v>140</v>
      </c>
      <c r="C396" s="404">
        <f t="shared" si="96"/>
        <v>0</v>
      </c>
      <c r="D396" s="404">
        <f t="shared" si="97"/>
        <v>0</v>
      </c>
      <c r="E396" s="406">
        <v>0</v>
      </c>
      <c r="F396" s="406">
        <v>0</v>
      </c>
      <c r="G396" s="406">
        <v>0</v>
      </c>
      <c r="H396" s="406">
        <v>0</v>
      </c>
      <c r="I396" s="406">
        <v>0</v>
      </c>
      <c r="J396" s="406">
        <v>0</v>
      </c>
      <c r="K396" s="406">
        <v>0</v>
      </c>
      <c r="L396" s="406">
        <v>0</v>
      </c>
      <c r="M396" s="406" t="e">
        <f>'03'!#REF!+'04'!#REF!</f>
        <v>#REF!</v>
      </c>
      <c r="N396" s="406" t="e">
        <f t="shared" si="92"/>
        <v>#REF!</v>
      </c>
      <c r="O396" s="406" t="e">
        <f>'07'!#REF!</f>
        <v>#REF!</v>
      </c>
      <c r="P396" s="406" t="e">
        <f t="shared" si="93"/>
        <v>#REF!</v>
      </c>
    </row>
    <row r="397" spans="1:16" ht="24.75" customHeight="1" hidden="1">
      <c r="A397" s="428" t="s">
        <v>141</v>
      </c>
      <c r="B397" s="429" t="s">
        <v>202</v>
      </c>
      <c r="C397" s="404">
        <f t="shared" si="96"/>
        <v>4500</v>
      </c>
      <c r="D397" s="404">
        <f t="shared" si="97"/>
        <v>4500</v>
      </c>
      <c r="E397" s="406">
        <v>0</v>
      </c>
      <c r="F397" s="406">
        <v>0</v>
      </c>
      <c r="G397" s="406">
        <v>4500</v>
      </c>
      <c r="H397" s="406">
        <v>0</v>
      </c>
      <c r="I397" s="406">
        <v>0</v>
      </c>
      <c r="J397" s="406">
        <v>0</v>
      </c>
      <c r="K397" s="406">
        <v>0</v>
      </c>
      <c r="L397" s="406">
        <v>0</v>
      </c>
      <c r="M397" s="406" t="e">
        <f>'03'!#REF!</f>
        <v>#REF!</v>
      </c>
      <c r="N397" s="406" t="e">
        <f t="shared" si="92"/>
        <v>#REF!</v>
      </c>
      <c r="O397" s="406" t="e">
        <f>'07'!#REF!</f>
        <v>#REF!</v>
      </c>
      <c r="P397" s="406" t="e">
        <f t="shared" si="93"/>
        <v>#REF!</v>
      </c>
    </row>
    <row r="398" spans="1:16" ht="24.75" customHeight="1" hidden="1">
      <c r="A398" s="428" t="s">
        <v>143</v>
      </c>
      <c r="B398" s="429" t="s">
        <v>142</v>
      </c>
      <c r="C398" s="404">
        <f t="shared" si="96"/>
        <v>4418051</v>
      </c>
      <c r="D398" s="404">
        <f t="shared" si="97"/>
        <v>108583</v>
      </c>
      <c r="E398" s="406">
        <v>10903</v>
      </c>
      <c r="F398" s="406">
        <v>0</v>
      </c>
      <c r="G398" s="406">
        <v>61780</v>
      </c>
      <c r="H398" s="406">
        <v>0</v>
      </c>
      <c r="I398" s="406">
        <v>35900</v>
      </c>
      <c r="J398" s="406">
        <v>0</v>
      </c>
      <c r="K398" s="406">
        <v>0</v>
      </c>
      <c r="L398" s="406">
        <v>4309468</v>
      </c>
      <c r="M398" s="406" t="e">
        <f>'03'!#REF!+'04'!#REF!</f>
        <v>#REF!</v>
      </c>
      <c r="N398" s="406" t="e">
        <f t="shared" si="92"/>
        <v>#REF!</v>
      </c>
      <c r="O398" s="406" t="e">
        <f>'07'!#REF!</f>
        <v>#REF!</v>
      </c>
      <c r="P398" s="406" t="e">
        <f t="shared" si="93"/>
        <v>#REF!</v>
      </c>
    </row>
    <row r="399" spans="1:16" ht="24.75" customHeight="1" hidden="1">
      <c r="A399" s="428" t="s">
        <v>145</v>
      </c>
      <c r="B399" s="429" t="s">
        <v>144</v>
      </c>
      <c r="C399" s="404">
        <f t="shared" si="96"/>
        <v>50472</v>
      </c>
      <c r="D399" s="404">
        <f t="shared" si="97"/>
        <v>50472</v>
      </c>
      <c r="E399" s="406">
        <v>1472</v>
      </c>
      <c r="F399" s="406">
        <v>0</v>
      </c>
      <c r="G399" s="406">
        <v>0</v>
      </c>
      <c r="H399" s="406">
        <v>0</v>
      </c>
      <c r="I399" s="406">
        <v>49000</v>
      </c>
      <c r="J399" s="406">
        <v>0</v>
      </c>
      <c r="K399" s="406">
        <v>0</v>
      </c>
      <c r="L399" s="406">
        <v>0</v>
      </c>
      <c r="M399" s="406" t="e">
        <f>'03'!#REF!+'04'!#REF!</f>
        <v>#REF!</v>
      </c>
      <c r="N399" s="406" t="e">
        <f t="shared" si="92"/>
        <v>#REF!</v>
      </c>
      <c r="O399" s="406" t="e">
        <f>'07'!#REF!</f>
        <v>#REF!</v>
      </c>
      <c r="P399" s="406" t="e">
        <f t="shared" si="93"/>
        <v>#REF!</v>
      </c>
    </row>
    <row r="400" spans="1:16" ht="24.75" customHeight="1" hidden="1">
      <c r="A400" s="428" t="s">
        <v>147</v>
      </c>
      <c r="B400" s="429" t="s">
        <v>146</v>
      </c>
      <c r="C400" s="404">
        <f t="shared" si="96"/>
        <v>0</v>
      </c>
      <c r="D400" s="404">
        <f t="shared" si="97"/>
        <v>0</v>
      </c>
      <c r="E400" s="406">
        <v>0</v>
      </c>
      <c r="F400" s="406">
        <v>0</v>
      </c>
      <c r="G400" s="406">
        <v>0</v>
      </c>
      <c r="H400" s="406">
        <v>0</v>
      </c>
      <c r="I400" s="406">
        <v>0</v>
      </c>
      <c r="J400" s="406">
        <v>0</v>
      </c>
      <c r="K400" s="406">
        <v>0</v>
      </c>
      <c r="L400" s="406">
        <v>0</v>
      </c>
      <c r="M400" s="406" t="e">
        <f>'03'!#REF!+'04'!#REF!</f>
        <v>#REF!</v>
      </c>
      <c r="N400" s="406" t="e">
        <f t="shared" si="92"/>
        <v>#REF!</v>
      </c>
      <c r="O400" s="406" t="e">
        <f>'07'!#REF!</f>
        <v>#REF!</v>
      </c>
      <c r="P400" s="406" t="e">
        <f t="shared" si="93"/>
        <v>#REF!</v>
      </c>
    </row>
    <row r="401" spans="1:16" ht="24.75" customHeight="1" hidden="1">
      <c r="A401" s="428" t="s">
        <v>149</v>
      </c>
      <c r="B401" s="431" t="s">
        <v>148</v>
      </c>
      <c r="C401" s="404">
        <f t="shared" si="96"/>
        <v>0</v>
      </c>
      <c r="D401" s="404">
        <f t="shared" si="97"/>
        <v>0</v>
      </c>
      <c r="E401" s="406">
        <v>0</v>
      </c>
      <c r="F401" s="406">
        <v>0</v>
      </c>
      <c r="G401" s="406">
        <v>0</v>
      </c>
      <c r="H401" s="406">
        <v>0</v>
      </c>
      <c r="I401" s="406">
        <v>0</v>
      </c>
      <c r="J401" s="406">
        <v>0</v>
      </c>
      <c r="K401" s="406">
        <v>0</v>
      </c>
      <c r="L401" s="406">
        <v>0</v>
      </c>
      <c r="M401" s="406" t="e">
        <f>'03'!#REF!+'04'!#REF!</f>
        <v>#REF!</v>
      </c>
      <c r="N401" s="406" t="e">
        <f t="shared" si="92"/>
        <v>#REF!</v>
      </c>
      <c r="O401" s="406" t="e">
        <f>'07'!#REF!</f>
        <v>#REF!</v>
      </c>
      <c r="P401" s="406" t="e">
        <f t="shared" si="93"/>
        <v>#REF!</v>
      </c>
    </row>
    <row r="402" spans="1:16" ht="24.75" customHeight="1" hidden="1">
      <c r="A402" s="428" t="s">
        <v>186</v>
      </c>
      <c r="B402" s="429" t="s">
        <v>150</v>
      </c>
      <c r="C402" s="404">
        <f t="shared" si="96"/>
        <v>1723723</v>
      </c>
      <c r="D402" s="404">
        <f t="shared" si="97"/>
        <v>244953</v>
      </c>
      <c r="E402" s="406">
        <v>237953</v>
      </c>
      <c r="F402" s="406">
        <v>0</v>
      </c>
      <c r="G402" s="406">
        <v>7000</v>
      </c>
      <c r="H402" s="406">
        <v>0</v>
      </c>
      <c r="I402" s="406">
        <v>0</v>
      </c>
      <c r="J402" s="406">
        <v>0</v>
      </c>
      <c r="K402" s="406">
        <v>0</v>
      </c>
      <c r="L402" s="406">
        <v>1478770</v>
      </c>
      <c r="M402" s="406" t="e">
        <f>'03'!#REF!+'04'!#REF!</f>
        <v>#REF!</v>
      </c>
      <c r="N402" s="406" t="e">
        <f t="shared" si="92"/>
        <v>#REF!</v>
      </c>
      <c r="O402" s="406" t="e">
        <f>'07'!#REF!</f>
        <v>#REF!</v>
      </c>
      <c r="P402" s="406" t="e">
        <f t="shared" si="93"/>
        <v>#REF!</v>
      </c>
    </row>
    <row r="403" spans="1:16" ht="24.75" customHeight="1" hidden="1">
      <c r="A403" s="394" t="s">
        <v>53</v>
      </c>
      <c r="B403" s="395" t="s">
        <v>151</v>
      </c>
      <c r="C403" s="404">
        <f t="shared" si="96"/>
        <v>675451</v>
      </c>
      <c r="D403" s="404">
        <f t="shared" si="97"/>
        <v>675451</v>
      </c>
      <c r="E403" s="406">
        <v>76621</v>
      </c>
      <c r="F403" s="406">
        <v>0</v>
      </c>
      <c r="G403" s="406">
        <v>299130</v>
      </c>
      <c r="H403" s="406">
        <v>108500</v>
      </c>
      <c r="I403" s="406">
        <v>191200</v>
      </c>
      <c r="J403" s="406">
        <v>0</v>
      </c>
      <c r="K403" s="406">
        <v>0</v>
      </c>
      <c r="L403" s="406">
        <v>0</v>
      </c>
      <c r="M403" s="404" t="e">
        <f>'03'!#REF!+'04'!#REF!</f>
        <v>#REF!</v>
      </c>
      <c r="N403" s="404" t="e">
        <f t="shared" si="92"/>
        <v>#REF!</v>
      </c>
      <c r="O403" s="404" t="e">
        <f>'07'!#REF!</f>
        <v>#REF!</v>
      </c>
      <c r="P403" s="404" t="e">
        <f t="shared" si="93"/>
        <v>#REF!</v>
      </c>
    </row>
    <row r="404" spans="1:16" ht="24.75" customHeight="1" hidden="1">
      <c r="A404" s="452" t="s">
        <v>76</v>
      </c>
      <c r="B404" s="477" t="s">
        <v>215</v>
      </c>
      <c r="C404" s="461">
        <f>(C395+C396+C397)/C394</f>
        <v>0.014745924492631016</v>
      </c>
      <c r="D404" s="396">
        <f aca="true" t="shared" si="98" ref="D404:L404">(D395+D396+D397)/D394</f>
        <v>0.16541929619798176</v>
      </c>
      <c r="E404" s="412">
        <f t="shared" si="98"/>
        <v>0.017658969971902617</v>
      </c>
      <c r="F404" s="412" t="e">
        <f t="shared" si="98"/>
        <v>#DIV/0!</v>
      </c>
      <c r="G404" s="412">
        <f t="shared" si="98"/>
        <v>0.17411143131604226</v>
      </c>
      <c r="H404" s="412">
        <f t="shared" si="98"/>
        <v>1</v>
      </c>
      <c r="I404" s="412">
        <f t="shared" si="98"/>
        <v>0.01737248411476719</v>
      </c>
      <c r="J404" s="412">
        <f t="shared" si="98"/>
        <v>1</v>
      </c>
      <c r="K404" s="412" t="e">
        <f t="shared" si="98"/>
        <v>#DIV/0!</v>
      </c>
      <c r="L404" s="412">
        <f t="shared" si="98"/>
        <v>0.0021720999621089227</v>
      </c>
      <c r="M404" s="422"/>
      <c r="N404" s="478"/>
      <c r="O404" s="478"/>
      <c r="P404" s="478"/>
    </row>
    <row r="405" spans="1:16" ht="17.25" hidden="1">
      <c r="A405" s="1548" t="s">
        <v>498</v>
      </c>
      <c r="B405" s="1548"/>
      <c r="C405" s="406">
        <f>C388-C391-C392-C393</f>
        <v>0</v>
      </c>
      <c r="D405" s="406">
        <f aca="true" t="shared" si="99" ref="D405:L405">D388-D391-D392-D393</f>
        <v>0</v>
      </c>
      <c r="E405" s="406">
        <f t="shared" si="99"/>
        <v>0</v>
      </c>
      <c r="F405" s="406">
        <f t="shared" si="99"/>
        <v>0</v>
      </c>
      <c r="G405" s="406">
        <f t="shared" si="99"/>
        <v>0</v>
      </c>
      <c r="H405" s="406">
        <f t="shared" si="99"/>
        <v>0</v>
      </c>
      <c r="I405" s="406">
        <f t="shared" si="99"/>
        <v>0</v>
      </c>
      <c r="J405" s="406">
        <f t="shared" si="99"/>
        <v>0</v>
      </c>
      <c r="K405" s="406">
        <f t="shared" si="99"/>
        <v>0</v>
      </c>
      <c r="L405" s="406">
        <f t="shared" si="99"/>
        <v>0</v>
      </c>
      <c r="M405" s="422"/>
      <c r="N405" s="478"/>
      <c r="O405" s="478"/>
      <c r="P405" s="478"/>
    </row>
    <row r="406" spans="1:16" ht="17.25" hidden="1">
      <c r="A406" s="1549" t="s">
        <v>499</v>
      </c>
      <c r="B406" s="1549"/>
      <c r="C406" s="406">
        <f>C393-C394-C403</f>
        <v>0</v>
      </c>
      <c r="D406" s="406">
        <f aca="true" t="shared" si="100" ref="D406:L406">D393-D394-D403</f>
        <v>0</v>
      </c>
      <c r="E406" s="406">
        <f t="shared" si="100"/>
        <v>0</v>
      </c>
      <c r="F406" s="406">
        <f t="shared" si="100"/>
        <v>0</v>
      </c>
      <c r="G406" s="406">
        <f t="shared" si="100"/>
        <v>0</v>
      </c>
      <c r="H406" s="406">
        <f t="shared" si="100"/>
        <v>0</v>
      </c>
      <c r="I406" s="406">
        <f t="shared" si="100"/>
        <v>0</v>
      </c>
      <c r="J406" s="406">
        <f t="shared" si="100"/>
        <v>0</v>
      </c>
      <c r="K406" s="406">
        <f t="shared" si="100"/>
        <v>0</v>
      </c>
      <c r="L406" s="406">
        <f t="shared" si="100"/>
        <v>0</v>
      </c>
      <c r="M406" s="422"/>
      <c r="N406" s="478"/>
      <c r="O406" s="478"/>
      <c r="P406" s="478"/>
    </row>
    <row r="407" spans="1:16" ht="18.75" hidden="1">
      <c r="A407" s="463"/>
      <c r="B407" s="479" t="s">
        <v>518</v>
      </c>
      <c r="C407" s="479"/>
      <c r="D407" s="453"/>
      <c r="E407" s="453"/>
      <c r="F407" s="453"/>
      <c r="G407" s="1575" t="s">
        <v>518</v>
      </c>
      <c r="H407" s="1575"/>
      <c r="I407" s="1575"/>
      <c r="J407" s="1575"/>
      <c r="K407" s="1575"/>
      <c r="L407" s="1575"/>
      <c r="M407" s="466"/>
      <c r="N407" s="466"/>
      <c r="O407" s="466"/>
      <c r="P407" s="466"/>
    </row>
    <row r="408" spans="1:16" ht="18.75" hidden="1">
      <c r="A408" s="1576" t="s">
        <v>4</v>
      </c>
      <c r="B408" s="1576"/>
      <c r="C408" s="1576"/>
      <c r="D408" s="1576"/>
      <c r="E408" s="453"/>
      <c r="F408" s="453"/>
      <c r="G408" s="480"/>
      <c r="H408" s="1577" t="s">
        <v>519</v>
      </c>
      <c r="I408" s="1577"/>
      <c r="J408" s="1577"/>
      <c r="K408" s="1577"/>
      <c r="L408" s="1577"/>
      <c r="M408" s="466"/>
      <c r="N408" s="466"/>
      <c r="O408" s="466"/>
      <c r="P408" s="466"/>
    </row>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spans="1:13" ht="16.5" hidden="1">
      <c r="A425" s="1560" t="s">
        <v>33</v>
      </c>
      <c r="B425" s="1561"/>
      <c r="C425" s="462"/>
      <c r="D425" s="1537" t="s">
        <v>79</v>
      </c>
      <c r="E425" s="1537"/>
      <c r="F425" s="1537"/>
      <c r="G425" s="1537"/>
      <c r="H425" s="1537"/>
      <c r="I425" s="1537"/>
      <c r="J425" s="1537"/>
      <c r="K425" s="1562"/>
      <c r="L425" s="1562"/>
      <c r="M425" s="466"/>
    </row>
    <row r="426" spans="1:13" ht="16.5" hidden="1">
      <c r="A426" s="1526" t="s">
        <v>342</v>
      </c>
      <c r="B426" s="1526"/>
      <c r="C426" s="1526"/>
      <c r="D426" s="1537" t="s">
        <v>216</v>
      </c>
      <c r="E426" s="1537"/>
      <c r="F426" s="1537"/>
      <c r="G426" s="1537"/>
      <c r="H426" s="1537"/>
      <c r="I426" s="1537"/>
      <c r="J426" s="1537"/>
      <c r="K426" s="1574" t="s">
        <v>514</v>
      </c>
      <c r="L426" s="1574"/>
      <c r="M426" s="463"/>
    </row>
    <row r="427" spans="1:13" ht="16.5" hidden="1">
      <c r="A427" s="1526" t="s">
        <v>343</v>
      </c>
      <c r="B427" s="1526"/>
      <c r="C427" s="413"/>
      <c r="D427" s="1541" t="s">
        <v>11</v>
      </c>
      <c r="E427" s="1541"/>
      <c r="F427" s="1541"/>
      <c r="G427" s="1541"/>
      <c r="H427" s="1541"/>
      <c r="I427" s="1541"/>
      <c r="J427" s="1541"/>
      <c r="K427" s="1562"/>
      <c r="L427" s="1562"/>
      <c r="M427" s="466"/>
    </row>
    <row r="428" spans="1:13" ht="15.75" hidden="1">
      <c r="A428" s="432" t="s">
        <v>119</v>
      </c>
      <c r="B428" s="432"/>
      <c r="C428" s="418"/>
      <c r="D428" s="467"/>
      <c r="E428" s="467"/>
      <c r="F428" s="468"/>
      <c r="G428" s="468"/>
      <c r="H428" s="468"/>
      <c r="I428" s="468"/>
      <c r="J428" s="468"/>
      <c r="K428" s="1578"/>
      <c r="L428" s="1578"/>
      <c r="M428" s="463"/>
    </row>
    <row r="429" spans="1:13" ht="15.75" hidden="1">
      <c r="A429" s="467"/>
      <c r="B429" s="467" t="s">
        <v>94</v>
      </c>
      <c r="C429" s="467"/>
      <c r="D429" s="467"/>
      <c r="E429" s="467"/>
      <c r="F429" s="467"/>
      <c r="G429" s="467"/>
      <c r="H429" s="467"/>
      <c r="I429" s="467"/>
      <c r="J429" s="467"/>
      <c r="K429" s="1563"/>
      <c r="L429" s="1563"/>
      <c r="M429" s="463"/>
    </row>
    <row r="430" spans="1:13" ht="15.75" hidden="1">
      <c r="A430" s="1256" t="s">
        <v>71</v>
      </c>
      <c r="B430" s="1257"/>
      <c r="C430" s="1542" t="s">
        <v>38</v>
      </c>
      <c r="D430" s="1564" t="s">
        <v>339</v>
      </c>
      <c r="E430" s="1564"/>
      <c r="F430" s="1564"/>
      <c r="G430" s="1564"/>
      <c r="H430" s="1564"/>
      <c r="I430" s="1564"/>
      <c r="J430" s="1564"/>
      <c r="K430" s="1564"/>
      <c r="L430" s="1564"/>
      <c r="M430" s="466"/>
    </row>
    <row r="431" spans="1:13" ht="15.75" hidden="1">
      <c r="A431" s="1258"/>
      <c r="B431" s="1259"/>
      <c r="C431" s="1542"/>
      <c r="D431" s="1579" t="s">
        <v>207</v>
      </c>
      <c r="E431" s="1580"/>
      <c r="F431" s="1580"/>
      <c r="G431" s="1580"/>
      <c r="H431" s="1580"/>
      <c r="I431" s="1580"/>
      <c r="J431" s="1581"/>
      <c r="K431" s="1582" t="s">
        <v>208</v>
      </c>
      <c r="L431" s="1582" t="s">
        <v>209</v>
      </c>
      <c r="M431" s="463"/>
    </row>
    <row r="432" spans="1:13" ht="15.75" hidden="1">
      <c r="A432" s="1258"/>
      <c r="B432" s="1259"/>
      <c r="C432" s="1542"/>
      <c r="D432" s="1587" t="s">
        <v>37</v>
      </c>
      <c r="E432" s="1588" t="s">
        <v>7</v>
      </c>
      <c r="F432" s="1589"/>
      <c r="G432" s="1589"/>
      <c r="H432" s="1589"/>
      <c r="I432" s="1589"/>
      <c r="J432" s="1590"/>
      <c r="K432" s="1583"/>
      <c r="L432" s="1585"/>
      <c r="M432" s="463"/>
    </row>
    <row r="433" spans="1:16" ht="15.75" hidden="1">
      <c r="A433" s="1546"/>
      <c r="B433" s="1547"/>
      <c r="C433" s="1542"/>
      <c r="D433" s="1587"/>
      <c r="E433" s="469" t="s">
        <v>210</v>
      </c>
      <c r="F433" s="469" t="s">
        <v>211</v>
      </c>
      <c r="G433" s="469" t="s">
        <v>212</v>
      </c>
      <c r="H433" s="469" t="s">
        <v>213</v>
      </c>
      <c r="I433" s="469" t="s">
        <v>344</v>
      </c>
      <c r="J433" s="469" t="s">
        <v>214</v>
      </c>
      <c r="K433" s="1584"/>
      <c r="L433" s="1586"/>
      <c r="M433" s="1540" t="s">
        <v>500</v>
      </c>
      <c r="N433" s="1540"/>
      <c r="O433" s="1540"/>
      <c r="P433" s="1540"/>
    </row>
    <row r="434" spans="1:16" ht="15" hidden="1">
      <c r="A434" s="1544" t="s">
        <v>6</v>
      </c>
      <c r="B434" s="1545"/>
      <c r="C434" s="470">
        <v>1</v>
      </c>
      <c r="D434" s="471">
        <v>2</v>
      </c>
      <c r="E434" s="470">
        <v>3</v>
      </c>
      <c r="F434" s="471">
        <v>4</v>
      </c>
      <c r="G434" s="470">
        <v>5</v>
      </c>
      <c r="H434" s="471">
        <v>6</v>
      </c>
      <c r="I434" s="470">
        <v>7</v>
      </c>
      <c r="J434" s="471">
        <v>8</v>
      </c>
      <c r="K434" s="470">
        <v>9</v>
      </c>
      <c r="L434" s="471">
        <v>10</v>
      </c>
      <c r="M434" s="472" t="s">
        <v>501</v>
      </c>
      <c r="N434" s="473" t="s">
        <v>504</v>
      </c>
      <c r="O434" s="473" t="s">
        <v>502</v>
      </c>
      <c r="P434" s="473" t="s">
        <v>503</v>
      </c>
    </row>
    <row r="435" spans="1:16" ht="24.75" customHeight="1" hidden="1">
      <c r="A435" s="425" t="s">
        <v>0</v>
      </c>
      <c r="B435" s="426" t="s">
        <v>131</v>
      </c>
      <c r="C435" s="404">
        <f>C436+C437</f>
        <v>5449092</v>
      </c>
      <c r="D435" s="404">
        <f aca="true" t="shared" si="101" ref="D435:L435">D436+D437</f>
        <v>447871</v>
      </c>
      <c r="E435" s="404">
        <f t="shared" si="101"/>
        <v>262468</v>
      </c>
      <c r="F435" s="404">
        <f t="shared" si="101"/>
        <v>0</v>
      </c>
      <c r="G435" s="404">
        <f t="shared" si="101"/>
        <v>115140</v>
      </c>
      <c r="H435" s="404">
        <f t="shared" si="101"/>
        <v>16950</v>
      </c>
      <c r="I435" s="404">
        <f t="shared" si="101"/>
        <v>21311</v>
      </c>
      <c r="J435" s="404">
        <f t="shared" si="101"/>
        <v>32002</v>
      </c>
      <c r="K435" s="404">
        <f t="shared" si="101"/>
        <v>0</v>
      </c>
      <c r="L435" s="404">
        <f t="shared" si="101"/>
        <v>5001221</v>
      </c>
      <c r="M435" s="404" t="e">
        <f>'03'!#REF!+'04'!#REF!</f>
        <v>#REF!</v>
      </c>
      <c r="N435" s="404" t="e">
        <f>C435-M435</f>
        <v>#REF!</v>
      </c>
      <c r="O435" s="404" t="e">
        <f>'07'!#REF!</f>
        <v>#REF!</v>
      </c>
      <c r="P435" s="404" t="e">
        <f>C435-O435</f>
        <v>#REF!</v>
      </c>
    </row>
    <row r="436" spans="1:16" ht="24.75" customHeight="1" hidden="1">
      <c r="A436" s="428">
        <v>1</v>
      </c>
      <c r="B436" s="429" t="s">
        <v>132</v>
      </c>
      <c r="C436" s="404">
        <f>D436+K436+L436</f>
        <v>4888044</v>
      </c>
      <c r="D436" s="404">
        <f>E436+F436+G436+H436+I436+J436</f>
        <v>376330</v>
      </c>
      <c r="E436" s="406">
        <v>238379</v>
      </c>
      <c r="F436" s="406"/>
      <c r="G436" s="406">
        <v>115140</v>
      </c>
      <c r="H436" s="406">
        <v>1500</v>
      </c>
      <c r="I436" s="406">
        <v>21311</v>
      </c>
      <c r="J436" s="406"/>
      <c r="K436" s="406"/>
      <c r="L436" s="406">
        <v>4511714</v>
      </c>
      <c r="M436" s="406" t="e">
        <f>'03'!#REF!+'04'!#REF!</f>
        <v>#REF!</v>
      </c>
      <c r="N436" s="406" t="e">
        <f aca="true" t="shared" si="102" ref="N436:N450">C436-M436</f>
        <v>#REF!</v>
      </c>
      <c r="O436" s="406" t="e">
        <f>'07'!#REF!</f>
        <v>#REF!</v>
      </c>
      <c r="P436" s="406" t="e">
        <f aca="true" t="shared" si="103" ref="P436:P450">C436-O436</f>
        <v>#REF!</v>
      </c>
    </row>
    <row r="437" spans="1:16" ht="24.75" customHeight="1" hidden="1">
      <c r="A437" s="428">
        <v>2</v>
      </c>
      <c r="B437" s="429" t="s">
        <v>133</v>
      </c>
      <c r="C437" s="404">
        <f>D437+K437+L437</f>
        <v>561048</v>
      </c>
      <c r="D437" s="404">
        <f>E437+F437+G437+H437+I437+J437</f>
        <v>71541</v>
      </c>
      <c r="E437" s="406">
        <v>24089</v>
      </c>
      <c r="F437" s="406">
        <v>0</v>
      </c>
      <c r="G437" s="406">
        <v>0</v>
      </c>
      <c r="H437" s="406">
        <v>15450</v>
      </c>
      <c r="I437" s="406">
        <v>0</v>
      </c>
      <c r="J437" s="406">
        <v>32002</v>
      </c>
      <c r="K437" s="406">
        <v>0</v>
      </c>
      <c r="L437" s="406">
        <v>489507</v>
      </c>
      <c r="M437" s="406" t="e">
        <f>'03'!#REF!+'04'!#REF!</f>
        <v>#REF!</v>
      </c>
      <c r="N437" s="406" t="e">
        <f t="shared" si="102"/>
        <v>#REF!</v>
      </c>
      <c r="O437" s="406" t="e">
        <f>'07'!#REF!</f>
        <v>#REF!</v>
      </c>
      <c r="P437" s="406" t="e">
        <f t="shared" si="103"/>
        <v>#REF!</v>
      </c>
    </row>
    <row r="438" spans="1:16" ht="24.75" customHeight="1" hidden="1">
      <c r="A438" s="394" t="s">
        <v>1</v>
      </c>
      <c r="B438" s="395" t="s">
        <v>134</v>
      </c>
      <c r="C438" s="404">
        <f>D438+K438+L438</f>
        <v>200</v>
      </c>
      <c r="D438" s="404">
        <f>E438+F438+G438+H438+I438+J438</f>
        <v>200</v>
      </c>
      <c r="E438" s="406">
        <v>200</v>
      </c>
      <c r="F438" s="406">
        <v>0</v>
      </c>
      <c r="G438" s="406">
        <v>0</v>
      </c>
      <c r="H438" s="406">
        <v>0</v>
      </c>
      <c r="I438" s="406">
        <v>0</v>
      </c>
      <c r="J438" s="406">
        <v>0</v>
      </c>
      <c r="K438" s="406">
        <v>0</v>
      </c>
      <c r="L438" s="406">
        <v>0</v>
      </c>
      <c r="M438" s="406" t="e">
        <f>'03'!#REF!+'04'!#REF!</f>
        <v>#REF!</v>
      </c>
      <c r="N438" s="406" t="e">
        <f t="shared" si="102"/>
        <v>#REF!</v>
      </c>
      <c r="O438" s="406" t="e">
        <f>'07'!#REF!</f>
        <v>#REF!</v>
      </c>
      <c r="P438" s="406" t="e">
        <f t="shared" si="103"/>
        <v>#REF!</v>
      </c>
    </row>
    <row r="439" spans="1:16" ht="24.75" customHeight="1" hidden="1">
      <c r="A439" s="394" t="s">
        <v>9</v>
      </c>
      <c r="B439" s="395" t="s">
        <v>135</v>
      </c>
      <c r="C439" s="404">
        <f>D439+K439+L439</f>
        <v>0</v>
      </c>
      <c r="D439" s="404">
        <f>E439+F439+G439+H439+I439+J439</f>
        <v>0</v>
      </c>
      <c r="E439" s="406">
        <v>0</v>
      </c>
      <c r="F439" s="406">
        <v>0</v>
      </c>
      <c r="G439" s="406">
        <v>0</v>
      </c>
      <c r="H439" s="406">
        <v>0</v>
      </c>
      <c r="I439" s="406">
        <v>0</v>
      </c>
      <c r="J439" s="406">
        <v>0</v>
      </c>
      <c r="K439" s="406">
        <v>0</v>
      </c>
      <c r="L439" s="406">
        <v>0</v>
      </c>
      <c r="M439" s="406" t="e">
        <f>'03'!#REF!+'04'!#REF!</f>
        <v>#REF!</v>
      </c>
      <c r="N439" s="406" t="e">
        <f t="shared" si="102"/>
        <v>#REF!</v>
      </c>
      <c r="O439" s="406" t="e">
        <f>'07'!#REF!</f>
        <v>#REF!</v>
      </c>
      <c r="P439" s="406" t="e">
        <f t="shared" si="103"/>
        <v>#REF!</v>
      </c>
    </row>
    <row r="440" spans="1:16" ht="24.75" customHeight="1" hidden="1">
      <c r="A440" s="394" t="s">
        <v>136</v>
      </c>
      <c r="B440" s="395" t="s">
        <v>137</v>
      </c>
      <c r="C440" s="404">
        <f>C441+C450</f>
        <v>5448892</v>
      </c>
      <c r="D440" s="404">
        <f aca="true" t="shared" si="104" ref="D440:L440">D441+D450</f>
        <v>447671</v>
      </c>
      <c r="E440" s="404">
        <f t="shared" si="104"/>
        <v>262268</v>
      </c>
      <c r="F440" s="404">
        <f t="shared" si="104"/>
        <v>0</v>
      </c>
      <c r="G440" s="404">
        <f t="shared" si="104"/>
        <v>115140</v>
      </c>
      <c r="H440" s="404">
        <f t="shared" si="104"/>
        <v>16950</v>
      </c>
      <c r="I440" s="404">
        <f t="shared" si="104"/>
        <v>21311</v>
      </c>
      <c r="J440" s="404">
        <f t="shared" si="104"/>
        <v>32002</v>
      </c>
      <c r="K440" s="404">
        <f t="shared" si="104"/>
        <v>0</v>
      </c>
      <c r="L440" s="404">
        <f t="shared" si="104"/>
        <v>5001221</v>
      </c>
      <c r="M440" s="404" t="e">
        <f>'03'!#REF!+'04'!#REF!</f>
        <v>#REF!</v>
      </c>
      <c r="N440" s="404" t="e">
        <f t="shared" si="102"/>
        <v>#REF!</v>
      </c>
      <c r="O440" s="404" t="e">
        <f>'07'!#REF!</f>
        <v>#REF!</v>
      </c>
      <c r="P440" s="404" t="e">
        <f t="shared" si="103"/>
        <v>#REF!</v>
      </c>
    </row>
    <row r="441" spans="1:16" ht="24.75" customHeight="1" hidden="1">
      <c r="A441" s="394" t="s">
        <v>52</v>
      </c>
      <c r="B441" s="430" t="s">
        <v>138</v>
      </c>
      <c r="C441" s="404">
        <f>SUM(C442:C449)</f>
        <v>5109785</v>
      </c>
      <c r="D441" s="404">
        <f aca="true" t="shared" si="105" ref="D441:L441">SUM(D442:D449)</f>
        <v>108564</v>
      </c>
      <c r="E441" s="404">
        <f t="shared" si="105"/>
        <v>56612</v>
      </c>
      <c r="F441" s="404">
        <f t="shared" si="105"/>
        <v>0</v>
      </c>
      <c r="G441" s="404">
        <f t="shared" si="105"/>
        <v>4500</v>
      </c>
      <c r="H441" s="404">
        <f t="shared" si="105"/>
        <v>15450</v>
      </c>
      <c r="I441" s="404">
        <f t="shared" si="105"/>
        <v>0</v>
      </c>
      <c r="J441" s="404">
        <f t="shared" si="105"/>
        <v>32002</v>
      </c>
      <c r="K441" s="404">
        <f t="shared" si="105"/>
        <v>0</v>
      </c>
      <c r="L441" s="404">
        <f t="shared" si="105"/>
        <v>5001221</v>
      </c>
      <c r="M441" s="404" t="e">
        <f>'03'!#REF!+'04'!#REF!</f>
        <v>#REF!</v>
      </c>
      <c r="N441" s="404" t="e">
        <f t="shared" si="102"/>
        <v>#REF!</v>
      </c>
      <c r="O441" s="404" t="e">
        <f>'07'!#REF!</f>
        <v>#REF!</v>
      </c>
      <c r="P441" s="404" t="e">
        <f t="shared" si="103"/>
        <v>#REF!</v>
      </c>
    </row>
    <row r="442" spans="1:16" ht="24.75" customHeight="1" hidden="1">
      <c r="A442" s="428" t="s">
        <v>54</v>
      </c>
      <c r="B442" s="429" t="s">
        <v>139</v>
      </c>
      <c r="C442" s="404">
        <f aca="true" t="shared" si="106" ref="C442:C450">D442+K442+L442</f>
        <v>96608</v>
      </c>
      <c r="D442" s="404">
        <f aca="true" t="shared" si="107" ref="D442:D450">E442+F442+G442+H442+I442+J442</f>
        <v>53844</v>
      </c>
      <c r="E442" s="406">
        <v>9692</v>
      </c>
      <c r="F442" s="406">
        <v>0</v>
      </c>
      <c r="G442" s="406">
        <v>0</v>
      </c>
      <c r="H442" s="406">
        <v>12150</v>
      </c>
      <c r="I442" s="406">
        <v>0</v>
      </c>
      <c r="J442" s="406">
        <v>32002</v>
      </c>
      <c r="K442" s="406">
        <v>0</v>
      </c>
      <c r="L442" s="406">
        <v>42764</v>
      </c>
      <c r="M442" s="406" t="e">
        <f>'03'!#REF!+'04'!#REF!</f>
        <v>#REF!</v>
      </c>
      <c r="N442" s="406" t="e">
        <f t="shared" si="102"/>
        <v>#REF!</v>
      </c>
      <c r="O442" s="406" t="e">
        <f>'07'!#REF!</f>
        <v>#REF!</v>
      </c>
      <c r="P442" s="406" t="e">
        <f t="shared" si="103"/>
        <v>#REF!</v>
      </c>
    </row>
    <row r="443" spans="1:16" ht="24.75" customHeight="1" hidden="1">
      <c r="A443" s="428" t="s">
        <v>55</v>
      </c>
      <c r="B443" s="429" t="s">
        <v>140</v>
      </c>
      <c r="C443" s="404">
        <f t="shared" si="106"/>
        <v>0</v>
      </c>
      <c r="D443" s="404">
        <f t="shared" si="107"/>
        <v>0</v>
      </c>
      <c r="E443" s="406">
        <v>0</v>
      </c>
      <c r="F443" s="406">
        <v>0</v>
      </c>
      <c r="G443" s="406">
        <v>0</v>
      </c>
      <c r="H443" s="406">
        <v>0</v>
      </c>
      <c r="I443" s="406">
        <v>0</v>
      </c>
      <c r="J443" s="406">
        <v>0</v>
      </c>
      <c r="K443" s="406">
        <v>0</v>
      </c>
      <c r="L443" s="406">
        <v>0</v>
      </c>
      <c r="M443" s="406" t="e">
        <f>'03'!#REF!+'04'!#REF!</f>
        <v>#REF!</v>
      </c>
      <c r="N443" s="406" t="e">
        <f t="shared" si="102"/>
        <v>#REF!</v>
      </c>
      <c r="O443" s="406" t="e">
        <f>'07'!#REF!</f>
        <v>#REF!</v>
      </c>
      <c r="P443" s="406" t="e">
        <f t="shared" si="103"/>
        <v>#REF!</v>
      </c>
    </row>
    <row r="444" spans="1:16" ht="24.75" customHeight="1" hidden="1">
      <c r="A444" s="428" t="s">
        <v>141</v>
      </c>
      <c r="B444" s="429" t="s">
        <v>202</v>
      </c>
      <c r="C444" s="404">
        <f t="shared" si="106"/>
        <v>0</v>
      </c>
      <c r="D444" s="404">
        <f t="shared" si="107"/>
        <v>0</v>
      </c>
      <c r="E444" s="406">
        <v>0</v>
      </c>
      <c r="F444" s="406">
        <v>0</v>
      </c>
      <c r="G444" s="406">
        <v>0</v>
      </c>
      <c r="H444" s="406">
        <v>0</v>
      </c>
      <c r="I444" s="406">
        <v>0</v>
      </c>
      <c r="J444" s="406">
        <v>0</v>
      </c>
      <c r="K444" s="406">
        <v>0</v>
      </c>
      <c r="L444" s="406">
        <v>0</v>
      </c>
      <c r="M444" s="406" t="e">
        <f>'03'!#REF!</f>
        <v>#REF!</v>
      </c>
      <c r="N444" s="406" t="e">
        <f t="shared" si="102"/>
        <v>#REF!</v>
      </c>
      <c r="O444" s="406" t="e">
        <f>'07'!#REF!</f>
        <v>#REF!</v>
      </c>
      <c r="P444" s="406" t="e">
        <f t="shared" si="103"/>
        <v>#REF!</v>
      </c>
    </row>
    <row r="445" spans="1:16" ht="24.75" customHeight="1" hidden="1">
      <c r="A445" s="428" t="s">
        <v>143</v>
      </c>
      <c r="B445" s="429" t="s">
        <v>142</v>
      </c>
      <c r="C445" s="404">
        <f t="shared" si="106"/>
        <v>539464</v>
      </c>
      <c r="D445" s="404">
        <f t="shared" si="107"/>
        <v>54720</v>
      </c>
      <c r="E445" s="406">
        <v>46920</v>
      </c>
      <c r="F445" s="406"/>
      <c r="G445" s="406">
        <v>4500</v>
      </c>
      <c r="H445" s="406">
        <v>3300</v>
      </c>
      <c r="I445" s="406">
        <v>0</v>
      </c>
      <c r="J445" s="406">
        <v>0</v>
      </c>
      <c r="K445" s="406">
        <v>0</v>
      </c>
      <c r="L445" s="406">
        <v>484744</v>
      </c>
      <c r="M445" s="406" t="e">
        <f>'03'!#REF!+'04'!#REF!</f>
        <v>#REF!</v>
      </c>
      <c r="N445" s="406" t="e">
        <f t="shared" si="102"/>
        <v>#REF!</v>
      </c>
      <c r="O445" s="406" t="e">
        <f>'07'!#REF!</f>
        <v>#REF!</v>
      </c>
      <c r="P445" s="406" t="e">
        <f t="shared" si="103"/>
        <v>#REF!</v>
      </c>
    </row>
    <row r="446" spans="1:16" ht="24.75" customHeight="1" hidden="1">
      <c r="A446" s="428" t="s">
        <v>145</v>
      </c>
      <c r="B446" s="429" t="s">
        <v>144</v>
      </c>
      <c r="C446" s="404">
        <f t="shared" si="106"/>
        <v>1936348</v>
      </c>
      <c r="D446" s="404">
        <f t="shared" si="107"/>
        <v>0</v>
      </c>
      <c r="E446" s="406">
        <v>0</v>
      </c>
      <c r="F446" s="406">
        <v>0</v>
      </c>
      <c r="G446" s="406">
        <v>0</v>
      </c>
      <c r="H446" s="406">
        <v>0</v>
      </c>
      <c r="I446" s="406">
        <v>0</v>
      </c>
      <c r="J446" s="406">
        <v>0</v>
      </c>
      <c r="K446" s="406">
        <v>0</v>
      </c>
      <c r="L446" s="406">
        <v>1936348</v>
      </c>
      <c r="M446" s="406" t="e">
        <f>'03'!#REF!+'04'!#REF!</f>
        <v>#REF!</v>
      </c>
      <c r="N446" s="406" t="e">
        <f t="shared" si="102"/>
        <v>#REF!</v>
      </c>
      <c r="O446" s="406" t="e">
        <f>'07'!#REF!</f>
        <v>#REF!</v>
      </c>
      <c r="P446" s="406" t="e">
        <f t="shared" si="103"/>
        <v>#REF!</v>
      </c>
    </row>
    <row r="447" spans="1:16" ht="24.75" customHeight="1" hidden="1">
      <c r="A447" s="428" t="s">
        <v>147</v>
      </c>
      <c r="B447" s="429" t="s">
        <v>146</v>
      </c>
      <c r="C447" s="404">
        <f t="shared" si="106"/>
        <v>0</v>
      </c>
      <c r="D447" s="404">
        <f t="shared" si="107"/>
        <v>0</v>
      </c>
      <c r="E447" s="406">
        <v>0</v>
      </c>
      <c r="F447" s="406">
        <v>0</v>
      </c>
      <c r="G447" s="406">
        <v>0</v>
      </c>
      <c r="H447" s="406">
        <v>0</v>
      </c>
      <c r="I447" s="406">
        <v>0</v>
      </c>
      <c r="J447" s="406">
        <v>0</v>
      </c>
      <c r="K447" s="406">
        <v>0</v>
      </c>
      <c r="L447" s="406">
        <v>0</v>
      </c>
      <c r="M447" s="406" t="e">
        <f>'03'!#REF!+'04'!#REF!</f>
        <v>#REF!</v>
      </c>
      <c r="N447" s="406" t="e">
        <f t="shared" si="102"/>
        <v>#REF!</v>
      </c>
      <c r="O447" s="406" t="e">
        <f>'07'!#REF!</f>
        <v>#REF!</v>
      </c>
      <c r="P447" s="406" t="e">
        <f t="shared" si="103"/>
        <v>#REF!</v>
      </c>
    </row>
    <row r="448" spans="1:16" ht="24.75" customHeight="1" hidden="1">
      <c r="A448" s="428" t="s">
        <v>149</v>
      </c>
      <c r="B448" s="431" t="s">
        <v>148</v>
      </c>
      <c r="C448" s="404">
        <f t="shared" si="106"/>
        <v>0</v>
      </c>
      <c r="D448" s="404">
        <f t="shared" si="107"/>
        <v>0</v>
      </c>
      <c r="E448" s="406">
        <v>0</v>
      </c>
      <c r="F448" s="406">
        <v>0</v>
      </c>
      <c r="G448" s="406">
        <v>0</v>
      </c>
      <c r="H448" s="406">
        <v>0</v>
      </c>
      <c r="I448" s="406">
        <v>0</v>
      </c>
      <c r="J448" s="406">
        <v>0</v>
      </c>
      <c r="K448" s="406">
        <v>0</v>
      </c>
      <c r="L448" s="406">
        <v>0</v>
      </c>
      <c r="M448" s="406" t="e">
        <f>'03'!#REF!+'04'!#REF!</f>
        <v>#REF!</v>
      </c>
      <c r="N448" s="406" t="e">
        <f t="shared" si="102"/>
        <v>#REF!</v>
      </c>
      <c r="O448" s="406" t="e">
        <f>'07'!#REF!</f>
        <v>#REF!</v>
      </c>
      <c r="P448" s="406" t="e">
        <f t="shared" si="103"/>
        <v>#REF!</v>
      </c>
    </row>
    <row r="449" spans="1:16" ht="24.75" customHeight="1" hidden="1">
      <c r="A449" s="428" t="s">
        <v>186</v>
      </c>
      <c r="B449" s="429" t="s">
        <v>150</v>
      </c>
      <c r="C449" s="404">
        <f t="shared" si="106"/>
        <v>2537365</v>
      </c>
      <c r="D449" s="404">
        <f t="shared" si="107"/>
        <v>0</v>
      </c>
      <c r="E449" s="406">
        <v>0</v>
      </c>
      <c r="F449" s="406">
        <v>0</v>
      </c>
      <c r="G449" s="406">
        <v>0</v>
      </c>
      <c r="H449" s="406">
        <v>0</v>
      </c>
      <c r="I449" s="406">
        <v>0</v>
      </c>
      <c r="J449" s="406">
        <v>0</v>
      </c>
      <c r="K449" s="406">
        <v>0</v>
      </c>
      <c r="L449" s="406">
        <v>2537365</v>
      </c>
      <c r="M449" s="406" t="e">
        <f>'03'!#REF!+'04'!#REF!</f>
        <v>#REF!</v>
      </c>
      <c r="N449" s="406" t="e">
        <f t="shared" si="102"/>
        <v>#REF!</v>
      </c>
      <c r="O449" s="406" t="e">
        <f>'07'!#REF!</f>
        <v>#REF!</v>
      </c>
      <c r="P449" s="406" t="e">
        <f t="shared" si="103"/>
        <v>#REF!</v>
      </c>
    </row>
    <row r="450" spans="1:16" ht="24.75" customHeight="1" hidden="1">
      <c r="A450" s="394" t="s">
        <v>53</v>
      </c>
      <c r="B450" s="395" t="s">
        <v>151</v>
      </c>
      <c r="C450" s="404">
        <f t="shared" si="106"/>
        <v>339107</v>
      </c>
      <c r="D450" s="404">
        <f t="shared" si="107"/>
        <v>339107</v>
      </c>
      <c r="E450" s="406">
        <v>205656</v>
      </c>
      <c r="F450" s="406">
        <v>0</v>
      </c>
      <c r="G450" s="406">
        <v>110640</v>
      </c>
      <c r="H450" s="406">
        <v>1500</v>
      </c>
      <c r="I450" s="406">
        <v>21311</v>
      </c>
      <c r="J450" s="406">
        <v>0</v>
      </c>
      <c r="K450" s="406">
        <v>0</v>
      </c>
      <c r="L450" s="406">
        <v>0</v>
      </c>
      <c r="M450" s="404" t="e">
        <f>'03'!#REF!+'04'!#REF!</f>
        <v>#REF!</v>
      </c>
      <c r="N450" s="404" t="e">
        <f t="shared" si="102"/>
        <v>#REF!</v>
      </c>
      <c r="O450" s="404" t="e">
        <f>'07'!#REF!</f>
        <v>#REF!</v>
      </c>
      <c r="P450" s="404" t="e">
        <f t="shared" si="103"/>
        <v>#REF!</v>
      </c>
    </row>
    <row r="451" spans="1:16" ht="24.75" customHeight="1" hidden="1">
      <c r="A451" s="452" t="s">
        <v>76</v>
      </c>
      <c r="B451" s="477" t="s">
        <v>215</v>
      </c>
      <c r="C451" s="461">
        <f>(C442+C443+C444)/C441</f>
        <v>0.0189064706244979</v>
      </c>
      <c r="D451" s="396">
        <f aca="true" t="shared" si="108" ref="D451:L451">(D442+D443+D444)/D441</f>
        <v>0.4959655134298663</v>
      </c>
      <c r="E451" s="412">
        <f t="shared" si="108"/>
        <v>0.1712004522009468</v>
      </c>
      <c r="F451" s="412" t="e">
        <f t="shared" si="108"/>
        <v>#DIV/0!</v>
      </c>
      <c r="G451" s="412">
        <f t="shared" si="108"/>
        <v>0</v>
      </c>
      <c r="H451" s="412">
        <f t="shared" si="108"/>
        <v>0.7864077669902912</v>
      </c>
      <c r="I451" s="412" t="e">
        <f t="shared" si="108"/>
        <v>#DIV/0!</v>
      </c>
      <c r="J451" s="412">
        <f t="shared" si="108"/>
        <v>1</v>
      </c>
      <c r="K451" s="412" t="e">
        <f t="shared" si="108"/>
        <v>#DIV/0!</v>
      </c>
      <c r="L451" s="412">
        <f t="shared" si="108"/>
        <v>0.008550711916150077</v>
      </c>
      <c r="M451" s="422"/>
      <c r="N451" s="478"/>
      <c r="O451" s="478"/>
      <c r="P451" s="478"/>
    </row>
    <row r="452" spans="1:16" ht="17.25" hidden="1">
      <c r="A452" s="1548" t="s">
        <v>498</v>
      </c>
      <c r="B452" s="1548"/>
      <c r="C452" s="406">
        <f>C435-C438-C439-C440</f>
        <v>0</v>
      </c>
      <c r="D452" s="406">
        <f aca="true" t="shared" si="109" ref="D452:L452">D435-D438-D439-D440</f>
        <v>0</v>
      </c>
      <c r="E452" s="406">
        <f t="shared" si="109"/>
        <v>0</v>
      </c>
      <c r="F452" s="406">
        <f t="shared" si="109"/>
        <v>0</v>
      </c>
      <c r="G452" s="406">
        <f t="shared" si="109"/>
        <v>0</v>
      </c>
      <c r="H452" s="406">
        <f t="shared" si="109"/>
        <v>0</v>
      </c>
      <c r="I452" s="406">
        <f t="shared" si="109"/>
        <v>0</v>
      </c>
      <c r="J452" s="406">
        <f t="shared" si="109"/>
        <v>0</v>
      </c>
      <c r="K452" s="406">
        <f t="shared" si="109"/>
        <v>0</v>
      </c>
      <c r="L452" s="406">
        <f t="shared" si="109"/>
        <v>0</v>
      </c>
      <c r="M452" s="422"/>
      <c r="N452" s="478"/>
      <c r="O452" s="478"/>
      <c r="P452" s="478"/>
    </row>
    <row r="453" spans="1:16" ht="17.25" hidden="1">
      <c r="A453" s="1549" t="s">
        <v>499</v>
      </c>
      <c r="B453" s="1549"/>
      <c r="C453" s="406">
        <f>C440-C441-C450</f>
        <v>0</v>
      </c>
      <c r="D453" s="406">
        <f aca="true" t="shared" si="110" ref="D453:L453">D440-D441-D450</f>
        <v>0</v>
      </c>
      <c r="E453" s="406">
        <f t="shared" si="110"/>
        <v>0</v>
      </c>
      <c r="F453" s="406">
        <f t="shared" si="110"/>
        <v>0</v>
      </c>
      <c r="G453" s="406">
        <f t="shared" si="110"/>
        <v>0</v>
      </c>
      <c r="H453" s="406">
        <f t="shared" si="110"/>
        <v>0</v>
      </c>
      <c r="I453" s="406">
        <f t="shared" si="110"/>
        <v>0</v>
      </c>
      <c r="J453" s="406">
        <f t="shared" si="110"/>
        <v>0</v>
      </c>
      <c r="K453" s="406">
        <f t="shared" si="110"/>
        <v>0</v>
      </c>
      <c r="L453" s="406">
        <f t="shared" si="110"/>
        <v>0</v>
      </c>
      <c r="M453" s="422"/>
      <c r="N453" s="478"/>
      <c r="O453" s="478"/>
      <c r="P453" s="478"/>
    </row>
    <row r="454" spans="1:16" ht="18.75" hidden="1">
      <c r="A454" s="463"/>
      <c r="B454" s="479" t="s">
        <v>518</v>
      </c>
      <c r="C454" s="479"/>
      <c r="D454" s="453"/>
      <c r="E454" s="453"/>
      <c r="F454" s="453"/>
      <c r="G454" s="1575" t="s">
        <v>518</v>
      </c>
      <c r="H454" s="1575"/>
      <c r="I454" s="1575"/>
      <c r="J454" s="1575"/>
      <c r="K454" s="1575"/>
      <c r="L454" s="1575"/>
      <c r="M454" s="466"/>
      <c r="N454" s="466"/>
      <c r="O454" s="466"/>
      <c r="P454" s="466"/>
    </row>
    <row r="455" spans="1:16" ht="18.75" hidden="1">
      <c r="A455" s="1576" t="s">
        <v>4</v>
      </c>
      <c r="B455" s="1576"/>
      <c r="C455" s="1576"/>
      <c r="D455" s="1576"/>
      <c r="E455" s="453"/>
      <c r="F455" s="453"/>
      <c r="G455" s="480"/>
      <c r="H455" s="1577" t="s">
        <v>519</v>
      </c>
      <c r="I455" s="1577"/>
      <c r="J455" s="1577"/>
      <c r="K455" s="1577"/>
      <c r="L455" s="1577"/>
      <c r="M455" s="466"/>
      <c r="N455" s="466"/>
      <c r="O455" s="466"/>
      <c r="P455" s="466"/>
    </row>
    <row r="456" ht="15" hidden="1"/>
    <row r="457" ht="15" hidden="1"/>
    <row r="458" ht="15" hidden="1"/>
    <row r="459" ht="15" hidden="1"/>
    <row r="460" ht="15" hidden="1"/>
    <row r="461" ht="15" hidden="1"/>
    <row r="462" ht="15" hidden="1"/>
    <row r="463" ht="15" hidden="1"/>
    <row r="464" ht="15" hidden="1"/>
    <row r="465" ht="15" hidden="1"/>
    <row r="466" ht="15" hidden="1"/>
    <row r="467" spans="1:13" ht="16.5" hidden="1">
      <c r="A467" s="1560" t="s">
        <v>33</v>
      </c>
      <c r="B467" s="1561"/>
      <c r="C467" s="462"/>
      <c r="D467" s="1537" t="s">
        <v>79</v>
      </c>
      <c r="E467" s="1537"/>
      <c r="F467" s="1537"/>
      <c r="G467" s="1537"/>
      <c r="H467" s="1537"/>
      <c r="I467" s="1537"/>
      <c r="J467" s="1537"/>
      <c r="K467" s="1562"/>
      <c r="L467" s="1562"/>
      <c r="M467" s="466"/>
    </row>
    <row r="468" spans="1:13" ht="16.5" hidden="1">
      <c r="A468" s="1526" t="s">
        <v>342</v>
      </c>
      <c r="B468" s="1526"/>
      <c r="C468" s="1526"/>
      <c r="D468" s="1537" t="s">
        <v>216</v>
      </c>
      <c r="E468" s="1537"/>
      <c r="F468" s="1537"/>
      <c r="G468" s="1537"/>
      <c r="H468" s="1537"/>
      <c r="I468" s="1537"/>
      <c r="J468" s="1537"/>
      <c r="K468" s="1574" t="s">
        <v>515</v>
      </c>
      <c r="L468" s="1574"/>
      <c r="M468" s="463"/>
    </row>
    <row r="469" spans="1:13" ht="16.5" hidden="1">
      <c r="A469" s="1526" t="s">
        <v>343</v>
      </c>
      <c r="B469" s="1526"/>
      <c r="C469" s="413"/>
      <c r="D469" s="1541" t="s">
        <v>11</v>
      </c>
      <c r="E469" s="1541"/>
      <c r="F469" s="1541"/>
      <c r="G469" s="1541"/>
      <c r="H469" s="1541"/>
      <c r="I469" s="1541"/>
      <c r="J469" s="1541"/>
      <c r="K469" s="1562"/>
      <c r="L469" s="1562"/>
      <c r="M469" s="466"/>
    </row>
    <row r="470" spans="1:13" ht="15.75" hidden="1">
      <c r="A470" s="432" t="s">
        <v>119</v>
      </c>
      <c r="B470" s="432"/>
      <c r="C470" s="418"/>
      <c r="D470" s="467"/>
      <c r="E470" s="467"/>
      <c r="F470" s="468"/>
      <c r="G470" s="468"/>
      <c r="H470" s="468"/>
      <c r="I470" s="468"/>
      <c r="J470" s="468"/>
      <c r="K470" s="1578"/>
      <c r="L470" s="1578"/>
      <c r="M470" s="463"/>
    </row>
    <row r="471" spans="1:13" ht="15.75" hidden="1">
      <c r="A471" s="467"/>
      <c r="B471" s="467" t="s">
        <v>94</v>
      </c>
      <c r="C471" s="467"/>
      <c r="D471" s="467"/>
      <c r="E471" s="467"/>
      <c r="F471" s="467"/>
      <c r="G471" s="467"/>
      <c r="H471" s="467"/>
      <c r="I471" s="467"/>
      <c r="J471" s="467"/>
      <c r="K471" s="1563"/>
      <c r="L471" s="1563"/>
      <c r="M471" s="463"/>
    </row>
    <row r="472" spans="1:13" ht="15.75" hidden="1">
      <c r="A472" s="1256" t="s">
        <v>71</v>
      </c>
      <c r="B472" s="1257"/>
      <c r="C472" s="1542" t="s">
        <v>38</v>
      </c>
      <c r="D472" s="1564" t="s">
        <v>339</v>
      </c>
      <c r="E472" s="1564"/>
      <c r="F472" s="1564"/>
      <c r="G472" s="1564"/>
      <c r="H472" s="1564"/>
      <c r="I472" s="1564"/>
      <c r="J472" s="1564"/>
      <c r="K472" s="1564"/>
      <c r="L472" s="1564"/>
      <c r="M472" s="466"/>
    </row>
    <row r="473" spans="1:13" ht="15.75" hidden="1">
      <c r="A473" s="1258"/>
      <c r="B473" s="1259"/>
      <c r="C473" s="1542"/>
      <c r="D473" s="1579" t="s">
        <v>207</v>
      </c>
      <c r="E473" s="1580"/>
      <c r="F473" s="1580"/>
      <c r="G473" s="1580"/>
      <c r="H473" s="1580"/>
      <c r="I473" s="1580"/>
      <c r="J473" s="1581"/>
      <c r="K473" s="1582" t="s">
        <v>208</v>
      </c>
      <c r="L473" s="1582" t="s">
        <v>209</v>
      </c>
      <c r="M473" s="463"/>
    </row>
    <row r="474" spans="1:13" ht="15.75" hidden="1">
      <c r="A474" s="1258"/>
      <c r="B474" s="1259"/>
      <c r="C474" s="1542"/>
      <c r="D474" s="1587" t="s">
        <v>37</v>
      </c>
      <c r="E474" s="1588" t="s">
        <v>7</v>
      </c>
      <c r="F474" s="1589"/>
      <c r="G474" s="1589"/>
      <c r="H474" s="1589"/>
      <c r="I474" s="1589"/>
      <c r="J474" s="1590"/>
      <c r="K474" s="1583"/>
      <c r="L474" s="1585"/>
      <c r="M474" s="463"/>
    </row>
    <row r="475" spans="1:16" ht="15.75" hidden="1">
      <c r="A475" s="1546"/>
      <c r="B475" s="1547"/>
      <c r="C475" s="1542"/>
      <c r="D475" s="1587"/>
      <c r="E475" s="469" t="s">
        <v>210</v>
      </c>
      <c r="F475" s="469" t="s">
        <v>211</v>
      </c>
      <c r="G475" s="469" t="s">
        <v>212</v>
      </c>
      <c r="H475" s="469" t="s">
        <v>213</v>
      </c>
      <c r="I475" s="469" t="s">
        <v>344</v>
      </c>
      <c r="J475" s="469" t="s">
        <v>214</v>
      </c>
      <c r="K475" s="1584"/>
      <c r="L475" s="1586"/>
      <c r="M475" s="1540" t="s">
        <v>500</v>
      </c>
      <c r="N475" s="1540"/>
      <c r="O475" s="1540"/>
      <c r="P475" s="1540"/>
    </row>
    <row r="476" spans="1:16" ht="15" hidden="1">
      <c r="A476" s="1544" t="s">
        <v>6</v>
      </c>
      <c r="B476" s="1545"/>
      <c r="C476" s="470">
        <v>1</v>
      </c>
      <c r="D476" s="471">
        <v>2</v>
      </c>
      <c r="E476" s="470">
        <v>3</v>
      </c>
      <c r="F476" s="471">
        <v>4</v>
      </c>
      <c r="G476" s="470">
        <v>5</v>
      </c>
      <c r="H476" s="471">
        <v>6</v>
      </c>
      <c r="I476" s="470">
        <v>7</v>
      </c>
      <c r="J476" s="471">
        <v>8</v>
      </c>
      <c r="K476" s="470">
        <v>9</v>
      </c>
      <c r="L476" s="471">
        <v>10</v>
      </c>
      <c r="M476" s="472" t="s">
        <v>501</v>
      </c>
      <c r="N476" s="473" t="s">
        <v>504</v>
      </c>
      <c r="O476" s="473" t="s">
        <v>502</v>
      </c>
      <c r="P476" s="473" t="s">
        <v>503</v>
      </c>
    </row>
    <row r="477" spans="1:16" ht="24.75" customHeight="1" hidden="1">
      <c r="A477" s="425" t="s">
        <v>0</v>
      </c>
      <c r="B477" s="426" t="s">
        <v>131</v>
      </c>
      <c r="C477" s="404">
        <f>C478+C479</f>
        <v>922525</v>
      </c>
      <c r="D477" s="404">
        <f aca="true" t="shared" si="111" ref="D477:L477">D478+D479</f>
        <v>186914</v>
      </c>
      <c r="E477" s="404">
        <f t="shared" si="111"/>
        <v>67241</v>
      </c>
      <c r="F477" s="404">
        <f t="shared" si="111"/>
        <v>0</v>
      </c>
      <c r="G477" s="404">
        <f t="shared" si="111"/>
        <v>33200</v>
      </c>
      <c r="H477" s="404">
        <f t="shared" si="111"/>
        <v>8506</v>
      </c>
      <c r="I477" s="404">
        <f t="shared" si="111"/>
        <v>63550</v>
      </c>
      <c r="J477" s="404">
        <f t="shared" si="111"/>
        <v>14417</v>
      </c>
      <c r="K477" s="404">
        <f t="shared" si="111"/>
        <v>28000</v>
      </c>
      <c r="L477" s="404">
        <f t="shared" si="111"/>
        <v>707611</v>
      </c>
      <c r="M477" s="404" t="e">
        <f>'03'!#REF!+'04'!#REF!</f>
        <v>#REF!</v>
      </c>
      <c r="N477" s="404" t="e">
        <f>C477-M477</f>
        <v>#REF!</v>
      </c>
      <c r="O477" s="404" t="e">
        <f>'07'!#REF!</f>
        <v>#REF!</v>
      </c>
      <c r="P477" s="404" t="e">
        <f>C477-O477</f>
        <v>#REF!</v>
      </c>
    </row>
    <row r="478" spans="1:16" ht="24.75" customHeight="1" hidden="1">
      <c r="A478" s="428">
        <v>1</v>
      </c>
      <c r="B478" s="429" t="s">
        <v>132</v>
      </c>
      <c r="C478" s="404">
        <f>D478+K478+L478</f>
        <v>642794</v>
      </c>
      <c r="D478" s="404">
        <f>E478+F478+G478+H478+I478+J478</f>
        <v>146594</v>
      </c>
      <c r="E478" s="406">
        <v>52394</v>
      </c>
      <c r="F478" s="406"/>
      <c r="G478" s="406">
        <v>33200</v>
      </c>
      <c r="H478" s="406"/>
      <c r="I478" s="406">
        <v>61000</v>
      </c>
      <c r="J478" s="406"/>
      <c r="K478" s="406"/>
      <c r="L478" s="406">
        <v>496200</v>
      </c>
      <c r="M478" s="406" t="e">
        <f>'03'!#REF!+'04'!#REF!</f>
        <v>#REF!</v>
      </c>
      <c r="N478" s="406" t="e">
        <f aca="true" t="shared" si="112" ref="N478:N492">C478-M478</f>
        <v>#REF!</v>
      </c>
      <c r="O478" s="406" t="e">
        <f>'07'!#REF!</f>
        <v>#REF!</v>
      </c>
      <c r="P478" s="406" t="e">
        <f aca="true" t="shared" si="113" ref="P478:P492">C478-O478</f>
        <v>#REF!</v>
      </c>
    </row>
    <row r="479" spans="1:16" ht="24.75" customHeight="1" hidden="1">
      <c r="A479" s="428">
        <v>2</v>
      </c>
      <c r="B479" s="429" t="s">
        <v>133</v>
      </c>
      <c r="C479" s="404">
        <f>D479+K479+L479</f>
        <v>279731</v>
      </c>
      <c r="D479" s="404">
        <f>E479+F479+G479+H479+I479+J479</f>
        <v>40320</v>
      </c>
      <c r="E479" s="406">
        <v>14847</v>
      </c>
      <c r="F479" s="406"/>
      <c r="G479" s="406"/>
      <c r="H479" s="406">
        <v>8506</v>
      </c>
      <c r="I479" s="406">
        <v>2550</v>
      </c>
      <c r="J479" s="406">
        <v>14417</v>
      </c>
      <c r="K479" s="406">
        <v>28000</v>
      </c>
      <c r="L479" s="406">
        <v>211411</v>
      </c>
      <c r="M479" s="406" t="e">
        <f>'03'!#REF!+'04'!#REF!</f>
        <v>#REF!</v>
      </c>
      <c r="N479" s="406" t="e">
        <f t="shared" si="112"/>
        <v>#REF!</v>
      </c>
      <c r="O479" s="406" t="e">
        <f>'07'!#REF!</f>
        <v>#REF!</v>
      </c>
      <c r="P479" s="406" t="e">
        <f t="shared" si="113"/>
        <v>#REF!</v>
      </c>
    </row>
    <row r="480" spans="1:16" ht="24.75" customHeight="1" hidden="1">
      <c r="A480" s="394" t="s">
        <v>1</v>
      </c>
      <c r="B480" s="395" t="s">
        <v>134</v>
      </c>
      <c r="C480" s="404">
        <f>D480+K480+L480</f>
        <v>950</v>
      </c>
      <c r="D480" s="404">
        <f>E480+F480+G480+H480+I480+J480</f>
        <v>950</v>
      </c>
      <c r="E480" s="406">
        <v>650</v>
      </c>
      <c r="F480" s="406"/>
      <c r="G480" s="406"/>
      <c r="H480" s="406"/>
      <c r="I480" s="406">
        <v>300</v>
      </c>
      <c r="J480" s="406"/>
      <c r="K480" s="406"/>
      <c r="L480" s="406"/>
      <c r="M480" s="406" t="e">
        <f>'03'!#REF!+'04'!#REF!</f>
        <v>#REF!</v>
      </c>
      <c r="N480" s="406" t="e">
        <f t="shared" si="112"/>
        <v>#REF!</v>
      </c>
      <c r="O480" s="406" t="e">
        <f>'07'!#REF!</f>
        <v>#REF!</v>
      </c>
      <c r="P480" s="406" t="e">
        <f t="shared" si="113"/>
        <v>#REF!</v>
      </c>
    </row>
    <row r="481" spans="1:16" ht="24.75" customHeight="1" hidden="1">
      <c r="A481" s="394" t="s">
        <v>9</v>
      </c>
      <c r="B481" s="395" t="s">
        <v>135</v>
      </c>
      <c r="C481" s="404">
        <f>D481+K481+L481</f>
        <v>0</v>
      </c>
      <c r="D481" s="404">
        <f>E481+F481+G481+H481+I481+J481</f>
        <v>0</v>
      </c>
      <c r="E481" s="406"/>
      <c r="F481" s="406"/>
      <c r="G481" s="406"/>
      <c r="H481" s="406"/>
      <c r="I481" s="406"/>
      <c r="J481" s="406"/>
      <c r="K481" s="406"/>
      <c r="L481" s="406"/>
      <c r="M481" s="406" t="e">
        <f>'03'!#REF!+'04'!#REF!</f>
        <v>#REF!</v>
      </c>
      <c r="N481" s="406" t="e">
        <f t="shared" si="112"/>
        <v>#REF!</v>
      </c>
      <c r="O481" s="406" t="e">
        <f>'07'!#REF!</f>
        <v>#REF!</v>
      </c>
      <c r="P481" s="406" t="e">
        <f t="shared" si="113"/>
        <v>#REF!</v>
      </c>
    </row>
    <row r="482" spans="1:16" ht="24.75" customHeight="1" hidden="1">
      <c r="A482" s="394" t="s">
        <v>136</v>
      </c>
      <c r="B482" s="395" t="s">
        <v>137</v>
      </c>
      <c r="C482" s="404">
        <f>C483+C492</f>
        <v>921575</v>
      </c>
      <c r="D482" s="404">
        <f aca="true" t="shared" si="114" ref="D482:L482">D483+D492</f>
        <v>185964</v>
      </c>
      <c r="E482" s="404">
        <f t="shared" si="114"/>
        <v>66591</v>
      </c>
      <c r="F482" s="404">
        <f t="shared" si="114"/>
        <v>0</v>
      </c>
      <c r="G482" s="404">
        <f t="shared" si="114"/>
        <v>33200</v>
      </c>
      <c r="H482" s="404">
        <f t="shared" si="114"/>
        <v>8506</v>
      </c>
      <c r="I482" s="404">
        <f t="shared" si="114"/>
        <v>63250</v>
      </c>
      <c r="J482" s="404">
        <f t="shared" si="114"/>
        <v>14417</v>
      </c>
      <c r="K482" s="404">
        <f t="shared" si="114"/>
        <v>28000</v>
      </c>
      <c r="L482" s="404">
        <f t="shared" si="114"/>
        <v>707611</v>
      </c>
      <c r="M482" s="404" t="e">
        <f>'03'!#REF!+'04'!#REF!</f>
        <v>#REF!</v>
      </c>
      <c r="N482" s="404" t="e">
        <f t="shared" si="112"/>
        <v>#REF!</v>
      </c>
      <c r="O482" s="404" t="e">
        <f>'07'!#REF!</f>
        <v>#REF!</v>
      </c>
      <c r="P482" s="404" t="e">
        <f t="shared" si="113"/>
        <v>#REF!</v>
      </c>
    </row>
    <row r="483" spans="1:16" ht="24.75" customHeight="1" hidden="1">
      <c r="A483" s="394" t="s">
        <v>52</v>
      </c>
      <c r="B483" s="430" t="s">
        <v>138</v>
      </c>
      <c r="C483" s="404">
        <f>SUM(C484:C491)</f>
        <v>798931</v>
      </c>
      <c r="D483" s="404">
        <f aca="true" t="shared" si="115" ref="D483:L483">SUM(D484:D491)</f>
        <v>63320</v>
      </c>
      <c r="E483" s="404">
        <f t="shared" si="115"/>
        <v>40397</v>
      </c>
      <c r="F483" s="404">
        <f t="shared" si="115"/>
        <v>0</v>
      </c>
      <c r="G483" s="404">
        <f t="shared" si="115"/>
        <v>0</v>
      </c>
      <c r="H483" s="404">
        <f t="shared" si="115"/>
        <v>8506</v>
      </c>
      <c r="I483" s="404">
        <f t="shared" si="115"/>
        <v>0</v>
      </c>
      <c r="J483" s="404">
        <f t="shared" si="115"/>
        <v>14417</v>
      </c>
      <c r="K483" s="404">
        <f t="shared" si="115"/>
        <v>28000</v>
      </c>
      <c r="L483" s="404">
        <f t="shared" si="115"/>
        <v>707611</v>
      </c>
      <c r="M483" s="404" t="e">
        <f>'03'!#REF!+'04'!#REF!</f>
        <v>#REF!</v>
      </c>
      <c r="N483" s="404" t="e">
        <f t="shared" si="112"/>
        <v>#REF!</v>
      </c>
      <c r="O483" s="404" t="e">
        <f>'07'!#REF!</f>
        <v>#REF!</v>
      </c>
      <c r="P483" s="404" t="e">
        <f t="shared" si="113"/>
        <v>#REF!</v>
      </c>
    </row>
    <row r="484" spans="1:16" ht="24.75" customHeight="1" hidden="1">
      <c r="A484" s="428" t="s">
        <v>54</v>
      </c>
      <c r="B484" s="429" t="s">
        <v>139</v>
      </c>
      <c r="C484" s="404">
        <f aca="true" t="shared" si="116" ref="C484:C492">D484+K484+L484</f>
        <v>98600</v>
      </c>
      <c r="D484" s="404">
        <f aca="true" t="shared" si="117" ref="D484:D492">E484+F484+G484+H484+I484+J484</f>
        <v>34320</v>
      </c>
      <c r="E484" s="406">
        <v>11397</v>
      </c>
      <c r="F484" s="406"/>
      <c r="G484" s="406"/>
      <c r="H484" s="406">
        <v>8506</v>
      </c>
      <c r="I484" s="406"/>
      <c r="J484" s="406">
        <v>14417</v>
      </c>
      <c r="K484" s="406">
        <v>28000</v>
      </c>
      <c r="L484" s="406">
        <v>36280</v>
      </c>
      <c r="M484" s="406" t="e">
        <f>'03'!#REF!+'04'!#REF!</f>
        <v>#REF!</v>
      </c>
      <c r="N484" s="406" t="e">
        <f t="shared" si="112"/>
        <v>#REF!</v>
      </c>
      <c r="O484" s="406" t="e">
        <f>'07'!#REF!</f>
        <v>#REF!</v>
      </c>
      <c r="P484" s="406" t="e">
        <f t="shared" si="113"/>
        <v>#REF!</v>
      </c>
    </row>
    <row r="485" spans="1:16" ht="24.75" customHeight="1" hidden="1">
      <c r="A485" s="428" t="s">
        <v>55</v>
      </c>
      <c r="B485" s="429" t="s">
        <v>140</v>
      </c>
      <c r="C485" s="404">
        <f t="shared" si="116"/>
        <v>0</v>
      </c>
      <c r="D485" s="404">
        <f t="shared" si="117"/>
        <v>0</v>
      </c>
      <c r="E485" s="406"/>
      <c r="F485" s="406"/>
      <c r="G485" s="406"/>
      <c r="H485" s="406"/>
      <c r="I485" s="406"/>
      <c r="J485" s="406"/>
      <c r="K485" s="406"/>
      <c r="L485" s="406"/>
      <c r="M485" s="406" t="e">
        <f>'03'!#REF!+'04'!#REF!</f>
        <v>#REF!</v>
      </c>
      <c r="N485" s="406" t="e">
        <f t="shared" si="112"/>
        <v>#REF!</v>
      </c>
      <c r="O485" s="406" t="e">
        <f>'07'!#REF!</f>
        <v>#REF!</v>
      </c>
      <c r="P485" s="406" t="e">
        <f t="shared" si="113"/>
        <v>#REF!</v>
      </c>
    </row>
    <row r="486" spans="1:16" ht="24.75" customHeight="1" hidden="1">
      <c r="A486" s="428" t="s">
        <v>141</v>
      </c>
      <c r="B486" s="429" t="s">
        <v>202</v>
      </c>
      <c r="C486" s="404">
        <f t="shared" si="116"/>
        <v>0</v>
      </c>
      <c r="D486" s="404">
        <f t="shared" si="117"/>
        <v>0</v>
      </c>
      <c r="E486" s="406"/>
      <c r="F486" s="406"/>
      <c r="G486" s="406"/>
      <c r="H486" s="406"/>
      <c r="I486" s="406"/>
      <c r="J486" s="406"/>
      <c r="K486" s="406"/>
      <c r="L486" s="406"/>
      <c r="M486" s="406" t="e">
        <f>'03'!#REF!</f>
        <v>#REF!</v>
      </c>
      <c r="N486" s="406" t="e">
        <f t="shared" si="112"/>
        <v>#REF!</v>
      </c>
      <c r="O486" s="406" t="e">
        <f>'07'!#REF!</f>
        <v>#REF!</v>
      </c>
      <c r="P486" s="406" t="e">
        <f t="shared" si="113"/>
        <v>#REF!</v>
      </c>
    </row>
    <row r="487" spans="1:16" ht="24.75" customHeight="1" hidden="1">
      <c r="A487" s="428" t="s">
        <v>143</v>
      </c>
      <c r="B487" s="429" t="s">
        <v>142</v>
      </c>
      <c r="C487" s="404">
        <f t="shared" si="116"/>
        <v>236331</v>
      </c>
      <c r="D487" s="404">
        <f t="shared" si="117"/>
        <v>29000</v>
      </c>
      <c r="E487" s="406">
        <v>29000</v>
      </c>
      <c r="F487" s="406"/>
      <c r="G487" s="406"/>
      <c r="H487" s="406"/>
      <c r="I487" s="406"/>
      <c r="J487" s="406"/>
      <c r="K487" s="406"/>
      <c r="L487" s="406">
        <v>207331</v>
      </c>
      <c r="M487" s="406" t="e">
        <f>'03'!#REF!+'04'!#REF!</f>
        <v>#REF!</v>
      </c>
      <c r="N487" s="406" t="e">
        <f t="shared" si="112"/>
        <v>#REF!</v>
      </c>
      <c r="O487" s="406" t="e">
        <f>'07'!#REF!</f>
        <v>#REF!</v>
      </c>
      <c r="P487" s="406" t="e">
        <f t="shared" si="113"/>
        <v>#REF!</v>
      </c>
    </row>
    <row r="488" spans="1:16" ht="24.75" customHeight="1" hidden="1">
      <c r="A488" s="428" t="s">
        <v>145</v>
      </c>
      <c r="B488" s="429" t="s">
        <v>144</v>
      </c>
      <c r="C488" s="404">
        <f t="shared" si="116"/>
        <v>464000</v>
      </c>
      <c r="D488" s="404">
        <f t="shared" si="117"/>
        <v>0</v>
      </c>
      <c r="E488" s="406"/>
      <c r="F488" s="406"/>
      <c r="G488" s="406"/>
      <c r="H488" s="406"/>
      <c r="I488" s="406"/>
      <c r="J488" s="406"/>
      <c r="K488" s="406"/>
      <c r="L488" s="406">
        <v>464000</v>
      </c>
      <c r="M488" s="406" t="e">
        <f>'03'!#REF!+'04'!#REF!</f>
        <v>#REF!</v>
      </c>
      <c r="N488" s="406" t="e">
        <f t="shared" si="112"/>
        <v>#REF!</v>
      </c>
      <c r="O488" s="406" t="e">
        <f>'07'!#REF!</f>
        <v>#REF!</v>
      </c>
      <c r="P488" s="406" t="e">
        <f t="shared" si="113"/>
        <v>#REF!</v>
      </c>
    </row>
    <row r="489" spans="1:16" ht="24.75" customHeight="1" hidden="1">
      <c r="A489" s="428" t="s">
        <v>147</v>
      </c>
      <c r="B489" s="429" t="s">
        <v>146</v>
      </c>
      <c r="C489" s="404">
        <f t="shared" si="116"/>
        <v>0</v>
      </c>
      <c r="D489" s="404">
        <f t="shared" si="117"/>
        <v>0</v>
      </c>
      <c r="E489" s="406"/>
      <c r="F489" s="406"/>
      <c r="G489" s="406"/>
      <c r="H489" s="406"/>
      <c r="I489" s="406"/>
      <c r="J489" s="406"/>
      <c r="K489" s="406"/>
      <c r="L489" s="406"/>
      <c r="M489" s="406" t="e">
        <f>'03'!#REF!+'04'!#REF!</f>
        <v>#REF!</v>
      </c>
      <c r="N489" s="406" t="e">
        <f t="shared" si="112"/>
        <v>#REF!</v>
      </c>
      <c r="O489" s="406" t="e">
        <f>'07'!#REF!</f>
        <v>#REF!</v>
      </c>
      <c r="P489" s="406" t="e">
        <f t="shared" si="113"/>
        <v>#REF!</v>
      </c>
    </row>
    <row r="490" spans="1:16" ht="24.75" customHeight="1" hidden="1">
      <c r="A490" s="428" t="s">
        <v>149</v>
      </c>
      <c r="B490" s="431" t="s">
        <v>148</v>
      </c>
      <c r="C490" s="404">
        <f t="shared" si="116"/>
        <v>0</v>
      </c>
      <c r="D490" s="404">
        <f t="shared" si="117"/>
        <v>0</v>
      </c>
      <c r="E490" s="406"/>
      <c r="F490" s="406"/>
      <c r="G490" s="406"/>
      <c r="H490" s="406"/>
      <c r="I490" s="406"/>
      <c r="J490" s="406"/>
      <c r="K490" s="406"/>
      <c r="L490" s="406"/>
      <c r="M490" s="406" t="e">
        <f>'03'!#REF!+'04'!#REF!</f>
        <v>#REF!</v>
      </c>
      <c r="N490" s="406" t="e">
        <f t="shared" si="112"/>
        <v>#REF!</v>
      </c>
      <c r="O490" s="406" t="e">
        <f>'07'!#REF!</f>
        <v>#REF!</v>
      </c>
      <c r="P490" s="406" t="e">
        <f t="shared" si="113"/>
        <v>#REF!</v>
      </c>
    </row>
    <row r="491" spans="1:16" ht="24.75" customHeight="1" hidden="1">
      <c r="A491" s="428" t="s">
        <v>186</v>
      </c>
      <c r="B491" s="429" t="s">
        <v>150</v>
      </c>
      <c r="C491" s="404">
        <f t="shared" si="116"/>
        <v>0</v>
      </c>
      <c r="D491" s="404">
        <f t="shared" si="117"/>
        <v>0</v>
      </c>
      <c r="E491" s="406"/>
      <c r="F491" s="406"/>
      <c r="G491" s="406"/>
      <c r="H491" s="406"/>
      <c r="I491" s="406"/>
      <c r="J491" s="406"/>
      <c r="K491" s="406"/>
      <c r="L491" s="406"/>
      <c r="M491" s="406" t="e">
        <f>'03'!#REF!+'04'!#REF!</f>
        <v>#REF!</v>
      </c>
      <c r="N491" s="406" t="e">
        <f t="shared" si="112"/>
        <v>#REF!</v>
      </c>
      <c r="O491" s="406" t="e">
        <f>'07'!#REF!</f>
        <v>#REF!</v>
      </c>
      <c r="P491" s="406" t="e">
        <f t="shared" si="113"/>
        <v>#REF!</v>
      </c>
    </row>
    <row r="492" spans="1:16" ht="24.75" customHeight="1" hidden="1">
      <c r="A492" s="394" t="s">
        <v>53</v>
      </c>
      <c r="B492" s="395" t="s">
        <v>151</v>
      </c>
      <c r="C492" s="404">
        <f t="shared" si="116"/>
        <v>122644</v>
      </c>
      <c r="D492" s="404">
        <f t="shared" si="117"/>
        <v>122644</v>
      </c>
      <c r="E492" s="406">
        <v>26194</v>
      </c>
      <c r="F492" s="406"/>
      <c r="G492" s="406">
        <v>33200</v>
      </c>
      <c r="H492" s="406"/>
      <c r="I492" s="406">
        <v>63250</v>
      </c>
      <c r="J492" s="406"/>
      <c r="K492" s="406"/>
      <c r="L492" s="406"/>
      <c r="M492" s="404" t="e">
        <f>'03'!#REF!+'04'!#REF!</f>
        <v>#REF!</v>
      </c>
      <c r="N492" s="404" t="e">
        <f t="shared" si="112"/>
        <v>#REF!</v>
      </c>
      <c r="O492" s="404" t="e">
        <f>'07'!#REF!</f>
        <v>#REF!</v>
      </c>
      <c r="P492" s="404" t="e">
        <f t="shared" si="113"/>
        <v>#REF!</v>
      </c>
    </row>
    <row r="493" spans="1:16" ht="24.75" customHeight="1" hidden="1">
      <c r="A493" s="452" t="s">
        <v>76</v>
      </c>
      <c r="B493" s="477" t="s">
        <v>215</v>
      </c>
      <c r="C493" s="461">
        <f>(C484+C485+C486)/C483</f>
        <v>0.12341491317773375</v>
      </c>
      <c r="D493" s="396">
        <f aca="true" t="shared" si="118" ref="D493:L493">(D484+D485+D486)/D483</f>
        <v>0.542008843967151</v>
      </c>
      <c r="E493" s="412">
        <f t="shared" si="118"/>
        <v>0.28212491026561376</v>
      </c>
      <c r="F493" s="412" t="e">
        <f t="shared" si="118"/>
        <v>#DIV/0!</v>
      </c>
      <c r="G493" s="412" t="e">
        <f t="shared" si="118"/>
        <v>#DIV/0!</v>
      </c>
      <c r="H493" s="412">
        <f t="shared" si="118"/>
        <v>1</v>
      </c>
      <c r="I493" s="412" t="e">
        <f t="shared" si="118"/>
        <v>#DIV/0!</v>
      </c>
      <c r="J493" s="412">
        <f t="shared" si="118"/>
        <v>1</v>
      </c>
      <c r="K493" s="412">
        <f t="shared" si="118"/>
        <v>1</v>
      </c>
      <c r="L493" s="412">
        <f t="shared" si="118"/>
        <v>0.05127110799577734</v>
      </c>
      <c r="M493" s="422"/>
      <c r="N493" s="478"/>
      <c r="O493" s="478"/>
      <c r="P493" s="478"/>
    </row>
    <row r="494" spans="1:16" ht="17.25" hidden="1">
      <c r="A494" s="1548" t="s">
        <v>498</v>
      </c>
      <c r="B494" s="1548"/>
      <c r="C494" s="406">
        <f>C477-C480-C481-C482</f>
        <v>0</v>
      </c>
      <c r="D494" s="406">
        <f aca="true" t="shared" si="119" ref="D494:L494">D477-D480-D481-D482</f>
        <v>0</v>
      </c>
      <c r="E494" s="406">
        <f t="shared" si="119"/>
        <v>0</v>
      </c>
      <c r="F494" s="406">
        <f t="shared" si="119"/>
        <v>0</v>
      </c>
      <c r="G494" s="406">
        <f t="shared" si="119"/>
        <v>0</v>
      </c>
      <c r="H494" s="406">
        <f t="shared" si="119"/>
        <v>0</v>
      </c>
      <c r="I494" s="406">
        <f t="shared" si="119"/>
        <v>0</v>
      </c>
      <c r="J494" s="406">
        <f t="shared" si="119"/>
        <v>0</v>
      </c>
      <c r="K494" s="406">
        <f t="shared" si="119"/>
        <v>0</v>
      </c>
      <c r="L494" s="406">
        <f t="shared" si="119"/>
        <v>0</v>
      </c>
      <c r="M494" s="422"/>
      <c r="N494" s="478"/>
      <c r="O494" s="478"/>
      <c r="P494" s="478"/>
    </row>
    <row r="495" spans="1:16" ht="17.25" hidden="1">
      <c r="A495" s="1549" t="s">
        <v>499</v>
      </c>
      <c r="B495" s="1549"/>
      <c r="C495" s="406">
        <f>C482-C483-C492</f>
        <v>0</v>
      </c>
      <c r="D495" s="406">
        <f aca="true" t="shared" si="120" ref="D495:L495">D482-D483-D492</f>
        <v>0</v>
      </c>
      <c r="E495" s="406">
        <f t="shared" si="120"/>
        <v>0</v>
      </c>
      <c r="F495" s="406">
        <f t="shared" si="120"/>
        <v>0</v>
      </c>
      <c r="G495" s="406">
        <f t="shared" si="120"/>
        <v>0</v>
      </c>
      <c r="H495" s="406">
        <f t="shared" si="120"/>
        <v>0</v>
      </c>
      <c r="I495" s="406">
        <f t="shared" si="120"/>
        <v>0</v>
      </c>
      <c r="J495" s="406">
        <f t="shared" si="120"/>
        <v>0</v>
      </c>
      <c r="K495" s="406">
        <f t="shared" si="120"/>
        <v>0</v>
      </c>
      <c r="L495" s="406">
        <f t="shared" si="120"/>
        <v>0</v>
      </c>
      <c r="M495" s="422"/>
      <c r="N495" s="478"/>
      <c r="O495" s="478"/>
      <c r="P495" s="478"/>
    </row>
    <row r="496" spans="1:16" ht="18.75" hidden="1">
      <c r="A496" s="463"/>
      <c r="B496" s="479" t="s">
        <v>518</v>
      </c>
      <c r="C496" s="479"/>
      <c r="D496" s="453"/>
      <c r="E496" s="453"/>
      <c r="F496" s="453"/>
      <c r="G496" s="1575" t="s">
        <v>518</v>
      </c>
      <c r="H496" s="1575"/>
      <c r="I496" s="1575"/>
      <c r="J496" s="1575"/>
      <c r="K496" s="1575"/>
      <c r="L496" s="1575"/>
      <c r="M496" s="466"/>
      <c r="N496" s="466"/>
      <c r="O496" s="466"/>
      <c r="P496" s="466"/>
    </row>
    <row r="497" spans="1:16" ht="18.75" hidden="1">
      <c r="A497" s="1576" t="s">
        <v>4</v>
      </c>
      <c r="B497" s="1576"/>
      <c r="C497" s="1576"/>
      <c r="D497" s="1576"/>
      <c r="E497" s="453"/>
      <c r="F497" s="453"/>
      <c r="G497" s="480"/>
      <c r="H497" s="1577" t="s">
        <v>519</v>
      </c>
      <c r="I497" s="1577"/>
      <c r="J497" s="1577"/>
      <c r="K497" s="1577"/>
      <c r="L497" s="1577"/>
      <c r="M497" s="466"/>
      <c r="N497" s="466"/>
      <c r="O497" s="466"/>
      <c r="P497" s="466"/>
    </row>
    <row r="498" ht="15" hidden="1"/>
    <row r="499" ht="15" hidden="1"/>
    <row r="500" ht="15" hidden="1"/>
    <row r="501" ht="15" hidden="1"/>
    <row r="502" ht="15" hidden="1"/>
    <row r="503" ht="15" hidden="1"/>
    <row r="504" ht="15" hidden="1"/>
    <row r="505" ht="15" hidden="1"/>
    <row r="506" ht="15" hidden="1"/>
    <row r="507" ht="15" hidden="1"/>
    <row r="508" ht="15" hidden="1"/>
    <row r="509" ht="15" hidden="1"/>
    <row r="510" spans="1:13" ht="16.5" hidden="1">
      <c r="A510" s="1560" t="s">
        <v>33</v>
      </c>
      <c r="B510" s="1561"/>
      <c r="C510" s="462"/>
      <c r="D510" s="1537" t="s">
        <v>79</v>
      </c>
      <c r="E510" s="1537"/>
      <c r="F510" s="1537"/>
      <c r="G510" s="1537"/>
      <c r="H510" s="1537"/>
      <c r="I510" s="1537"/>
      <c r="J510" s="1537"/>
      <c r="K510" s="1562"/>
      <c r="L510" s="1562"/>
      <c r="M510" s="466"/>
    </row>
    <row r="511" spans="1:13" ht="16.5" hidden="1">
      <c r="A511" s="1526" t="s">
        <v>342</v>
      </c>
      <c r="B511" s="1526"/>
      <c r="C511" s="1526"/>
      <c r="D511" s="1537" t="s">
        <v>216</v>
      </c>
      <c r="E511" s="1537"/>
      <c r="F511" s="1537"/>
      <c r="G511" s="1537"/>
      <c r="H511" s="1537"/>
      <c r="I511" s="1537"/>
      <c r="J511" s="1537"/>
      <c r="K511" s="1574" t="s">
        <v>516</v>
      </c>
      <c r="L511" s="1574"/>
      <c r="M511" s="463"/>
    </row>
    <row r="512" spans="1:13" ht="16.5" hidden="1">
      <c r="A512" s="1526" t="s">
        <v>343</v>
      </c>
      <c r="B512" s="1526"/>
      <c r="C512" s="413"/>
      <c r="D512" s="1541" t="s">
        <v>552</v>
      </c>
      <c r="E512" s="1541"/>
      <c r="F512" s="1541"/>
      <c r="G512" s="1541"/>
      <c r="H512" s="1541"/>
      <c r="I512" s="1541"/>
      <c r="J512" s="1541"/>
      <c r="K512" s="1562"/>
      <c r="L512" s="1562"/>
      <c r="M512" s="466"/>
    </row>
    <row r="513" spans="1:13" ht="15.75" hidden="1">
      <c r="A513" s="432" t="s">
        <v>119</v>
      </c>
      <c r="B513" s="432"/>
      <c r="C513" s="418"/>
      <c r="D513" s="467"/>
      <c r="E513" s="467"/>
      <c r="F513" s="468"/>
      <c r="G513" s="468"/>
      <c r="H513" s="468"/>
      <c r="I513" s="468"/>
      <c r="J513" s="468"/>
      <c r="K513" s="1578"/>
      <c r="L513" s="1578"/>
      <c r="M513" s="463"/>
    </row>
    <row r="514" spans="1:13" ht="15.75" hidden="1">
      <c r="A514" s="467"/>
      <c r="B514" s="467" t="s">
        <v>94</v>
      </c>
      <c r="C514" s="467"/>
      <c r="D514" s="467"/>
      <c r="E514" s="467"/>
      <c r="F514" s="467"/>
      <c r="G514" s="467"/>
      <c r="H514" s="467"/>
      <c r="I514" s="467"/>
      <c r="J514" s="467"/>
      <c r="K514" s="1563"/>
      <c r="L514" s="1563"/>
      <c r="M514" s="463"/>
    </row>
    <row r="515" spans="1:13" ht="15.75" hidden="1">
      <c r="A515" s="1256" t="s">
        <v>71</v>
      </c>
      <c r="B515" s="1257"/>
      <c r="C515" s="1542" t="s">
        <v>38</v>
      </c>
      <c r="D515" s="1564" t="s">
        <v>339</v>
      </c>
      <c r="E515" s="1564"/>
      <c r="F515" s="1564"/>
      <c r="G515" s="1564"/>
      <c r="H515" s="1564"/>
      <c r="I515" s="1564"/>
      <c r="J515" s="1564"/>
      <c r="K515" s="1564"/>
      <c r="L515" s="1564"/>
      <c r="M515" s="466"/>
    </row>
    <row r="516" spans="1:13" ht="15.75" hidden="1">
      <c r="A516" s="1258"/>
      <c r="B516" s="1259"/>
      <c r="C516" s="1542"/>
      <c r="D516" s="1579" t="s">
        <v>207</v>
      </c>
      <c r="E516" s="1580"/>
      <c r="F516" s="1580"/>
      <c r="G516" s="1580"/>
      <c r="H516" s="1580"/>
      <c r="I516" s="1580"/>
      <c r="J516" s="1581"/>
      <c r="K516" s="1582" t="s">
        <v>208</v>
      </c>
      <c r="L516" s="1582" t="s">
        <v>209</v>
      </c>
      <c r="M516" s="463"/>
    </row>
    <row r="517" spans="1:13" ht="15.75" hidden="1">
      <c r="A517" s="1258"/>
      <c r="B517" s="1259"/>
      <c r="C517" s="1542"/>
      <c r="D517" s="1587" t="s">
        <v>37</v>
      </c>
      <c r="E517" s="1588" t="s">
        <v>7</v>
      </c>
      <c r="F517" s="1589"/>
      <c r="G517" s="1589"/>
      <c r="H517" s="1589"/>
      <c r="I517" s="1589"/>
      <c r="J517" s="1590"/>
      <c r="K517" s="1583"/>
      <c r="L517" s="1585"/>
      <c r="M517" s="463"/>
    </row>
    <row r="518" spans="1:16" ht="15.75" hidden="1">
      <c r="A518" s="1546"/>
      <c r="B518" s="1547"/>
      <c r="C518" s="1542"/>
      <c r="D518" s="1587"/>
      <c r="E518" s="469" t="s">
        <v>210</v>
      </c>
      <c r="F518" s="469" t="s">
        <v>211</v>
      </c>
      <c r="G518" s="469" t="s">
        <v>212</v>
      </c>
      <c r="H518" s="469" t="s">
        <v>213</v>
      </c>
      <c r="I518" s="469" t="s">
        <v>344</v>
      </c>
      <c r="J518" s="469" t="s">
        <v>214</v>
      </c>
      <c r="K518" s="1584"/>
      <c r="L518" s="1586"/>
      <c r="M518" s="1540" t="s">
        <v>500</v>
      </c>
      <c r="N518" s="1540"/>
      <c r="O518" s="1540"/>
      <c r="P518" s="1540"/>
    </row>
    <row r="519" spans="1:16" ht="15" hidden="1">
      <c r="A519" s="1544" t="s">
        <v>6</v>
      </c>
      <c r="B519" s="1545"/>
      <c r="C519" s="470">
        <v>1</v>
      </c>
      <c r="D519" s="471">
        <v>2</v>
      </c>
      <c r="E519" s="470">
        <v>3</v>
      </c>
      <c r="F519" s="471">
        <v>4</v>
      </c>
      <c r="G519" s="470">
        <v>5</v>
      </c>
      <c r="H519" s="471">
        <v>6</v>
      </c>
      <c r="I519" s="470">
        <v>7</v>
      </c>
      <c r="J519" s="471">
        <v>8</v>
      </c>
      <c r="K519" s="470">
        <v>9</v>
      </c>
      <c r="L519" s="471">
        <v>10</v>
      </c>
      <c r="M519" s="472" t="s">
        <v>501</v>
      </c>
      <c r="N519" s="473" t="s">
        <v>504</v>
      </c>
      <c r="O519" s="473" t="s">
        <v>502</v>
      </c>
      <c r="P519" s="473" t="s">
        <v>503</v>
      </c>
    </row>
    <row r="520" spans="1:16" ht="24.75" customHeight="1" hidden="1">
      <c r="A520" s="425" t="s">
        <v>0</v>
      </c>
      <c r="B520" s="426" t="s">
        <v>131</v>
      </c>
      <c r="C520" s="404">
        <f>C521+C522</f>
        <v>1489506</v>
      </c>
      <c r="D520" s="404">
        <f aca="true" t="shared" si="121" ref="D520:L520">D521+D522</f>
        <v>1316506</v>
      </c>
      <c r="E520" s="404">
        <f t="shared" si="121"/>
        <v>194963</v>
      </c>
      <c r="F520" s="404">
        <f t="shared" si="121"/>
        <v>0</v>
      </c>
      <c r="G520" s="404">
        <f t="shared" si="121"/>
        <v>98361</v>
      </c>
      <c r="H520" s="404">
        <f t="shared" si="121"/>
        <v>1018454</v>
      </c>
      <c r="I520" s="404">
        <f t="shared" si="121"/>
        <v>0</v>
      </c>
      <c r="J520" s="404">
        <f t="shared" si="121"/>
        <v>4728</v>
      </c>
      <c r="K520" s="404">
        <f t="shared" si="121"/>
        <v>0</v>
      </c>
      <c r="L520" s="404">
        <f t="shared" si="121"/>
        <v>173000</v>
      </c>
      <c r="M520" s="404" t="e">
        <f>'03'!#REF!+'04'!#REF!</f>
        <v>#REF!</v>
      </c>
      <c r="N520" s="404" t="e">
        <f>C520-M520</f>
        <v>#REF!</v>
      </c>
      <c r="O520" s="404" t="e">
        <f>'07'!#REF!</f>
        <v>#REF!</v>
      </c>
      <c r="P520" s="404" t="e">
        <f>C520-O520</f>
        <v>#REF!</v>
      </c>
    </row>
    <row r="521" spans="1:16" ht="24.75" customHeight="1" hidden="1">
      <c r="A521" s="428">
        <v>1</v>
      </c>
      <c r="B521" s="429" t="s">
        <v>132</v>
      </c>
      <c r="C521" s="404">
        <f>D521+K521+L521</f>
        <v>1046387</v>
      </c>
      <c r="D521" s="404">
        <f>E521+F521+G521+H521+I521+J521</f>
        <v>1046387</v>
      </c>
      <c r="E521" s="406">
        <v>35026</v>
      </c>
      <c r="F521" s="406"/>
      <c r="G521" s="406">
        <v>37361</v>
      </c>
      <c r="H521" s="406">
        <v>974000</v>
      </c>
      <c r="I521" s="406"/>
      <c r="J521" s="406"/>
      <c r="K521" s="406"/>
      <c r="L521" s="406"/>
      <c r="M521" s="406" t="e">
        <f>'03'!#REF!+'04'!#REF!</f>
        <v>#REF!</v>
      </c>
      <c r="N521" s="406" t="e">
        <f aca="true" t="shared" si="122" ref="N521:N535">C521-M521</f>
        <v>#REF!</v>
      </c>
      <c r="O521" s="406" t="e">
        <f>'07'!#REF!</f>
        <v>#REF!</v>
      </c>
      <c r="P521" s="406" t="e">
        <f aca="true" t="shared" si="123" ref="P521:P535">C521-O521</f>
        <v>#REF!</v>
      </c>
    </row>
    <row r="522" spans="1:16" ht="24.75" customHeight="1" hidden="1">
      <c r="A522" s="428">
        <v>2</v>
      </c>
      <c r="B522" s="429" t="s">
        <v>133</v>
      </c>
      <c r="C522" s="404">
        <f>D522+K522+L522</f>
        <v>443119</v>
      </c>
      <c r="D522" s="404">
        <f>E522+F522+G522+H522+I522+J522</f>
        <v>270119</v>
      </c>
      <c r="E522" s="406">
        <v>159937</v>
      </c>
      <c r="F522" s="406">
        <v>0</v>
      </c>
      <c r="G522" s="406">
        <v>61000</v>
      </c>
      <c r="H522" s="406">
        <v>44454</v>
      </c>
      <c r="I522" s="406">
        <v>0</v>
      </c>
      <c r="J522" s="406">
        <v>4728</v>
      </c>
      <c r="K522" s="406">
        <v>0</v>
      </c>
      <c r="L522" s="406">
        <v>173000</v>
      </c>
      <c r="M522" s="406" t="e">
        <f>'03'!#REF!+'04'!#REF!</f>
        <v>#REF!</v>
      </c>
      <c r="N522" s="406" t="e">
        <f t="shared" si="122"/>
        <v>#REF!</v>
      </c>
      <c r="O522" s="406" t="e">
        <f>'07'!#REF!</f>
        <v>#REF!</v>
      </c>
      <c r="P522" s="406" t="e">
        <f t="shared" si="123"/>
        <v>#REF!</v>
      </c>
    </row>
    <row r="523" spans="1:16" ht="24.75" customHeight="1" hidden="1">
      <c r="A523" s="394" t="s">
        <v>1</v>
      </c>
      <c r="B523" s="395" t="s">
        <v>134</v>
      </c>
      <c r="C523" s="404">
        <f>D523+K523+L523</f>
        <v>21400</v>
      </c>
      <c r="D523" s="404">
        <f>E523+F523+G523+H523+I523+J523</f>
        <v>21400</v>
      </c>
      <c r="E523" s="406">
        <v>1400</v>
      </c>
      <c r="F523" s="406">
        <v>0</v>
      </c>
      <c r="G523" s="406">
        <v>20000</v>
      </c>
      <c r="H523" s="406">
        <v>0</v>
      </c>
      <c r="I523" s="406">
        <v>0</v>
      </c>
      <c r="J523" s="406">
        <v>0</v>
      </c>
      <c r="K523" s="406">
        <v>0</v>
      </c>
      <c r="L523" s="406">
        <v>0</v>
      </c>
      <c r="M523" s="406" t="e">
        <f>'03'!#REF!+'04'!#REF!</f>
        <v>#REF!</v>
      </c>
      <c r="N523" s="406" t="e">
        <f t="shared" si="122"/>
        <v>#REF!</v>
      </c>
      <c r="O523" s="406" t="e">
        <f>'07'!#REF!</f>
        <v>#REF!</v>
      </c>
      <c r="P523" s="406" t="e">
        <f t="shared" si="123"/>
        <v>#REF!</v>
      </c>
    </row>
    <row r="524" spans="1:16" ht="24.75" customHeight="1" hidden="1">
      <c r="A524" s="394" t="s">
        <v>9</v>
      </c>
      <c r="B524" s="395" t="s">
        <v>135</v>
      </c>
      <c r="C524" s="404">
        <f>D524+K524+L524</f>
        <v>0</v>
      </c>
      <c r="D524" s="404">
        <f>E524+F524+G524+H524+I524+J524</f>
        <v>0</v>
      </c>
      <c r="E524" s="406">
        <v>0</v>
      </c>
      <c r="F524" s="406">
        <v>0</v>
      </c>
      <c r="G524" s="406">
        <v>0</v>
      </c>
      <c r="H524" s="406">
        <v>0</v>
      </c>
      <c r="I524" s="406">
        <v>0</v>
      </c>
      <c r="J524" s="406">
        <v>0</v>
      </c>
      <c r="K524" s="406">
        <v>0</v>
      </c>
      <c r="L524" s="406">
        <v>0</v>
      </c>
      <c r="M524" s="406" t="e">
        <f>'03'!#REF!+'04'!#REF!</f>
        <v>#REF!</v>
      </c>
      <c r="N524" s="406" t="e">
        <f t="shared" si="122"/>
        <v>#REF!</v>
      </c>
      <c r="O524" s="406" t="e">
        <f>'07'!#REF!</f>
        <v>#REF!</v>
      </c>
      <c r="P524" s="406" t="e">
        <f t="shared" si="123"/>
        <v>#REF!</v>
      </c>
    </row>
    <row r="525" spans="1:16" ht="24.75" customHeight="1" hidden="1">
      <c r="A525" s="394" t="s">
        <v>136</v>
      </c>
      <c r="B525" s="395" t="s">
        <v>137</v>
      </c>
      <c r="C525" s="404">
        <f>C526+C535</f>
        <v>1468106</v>
      </c>
      <c r="D525" s="404">
        <f aca="true" t="shared" si="124" ref="D525:L525">D526+D535</f>
        <v>1295106</v>
      </c>
      <c r="E525" s="404">
        <f t="shared" si="124"/>
        <v>193563</v>
      </c>
      <c r="F525" s="404">
        <f t="shared" si="124"/>
        <v>0</v>
      </c>
      <c r="G525" s="404">
        <f t="shared" si="124"/>
        <v>78361</v>
      </c>
      <c r="H525" s="404">
        <f t="shared" si="124"/>
        <v>1018454</v>
      </c>
      <c r="I525" s="404">
        <f t="shared" si="124"/>
        <v>0</v>
      </c>
      <c r="J525" s="404">
        <f t="shared" si="124"/>
        <v>4728</v>
      </c>
      <c r="K525" s="404">
        <f t="shared" si="124"/>
        <v>0</v>
      </c>
      <c r="L525" s="404">
        <f t="shared" si="124"/>
        <v>173000</v>
      </c>
      <c r="M525" s="404" t="e">
        <f>'03'!#REF!+'04'!#REF!</f>
        <v>#REF!</v>
      </c>
      <c r="N525" s="404" t="e">
        <f t="shared" si="122"/>
        <v>#REF!</v>
      </c>
      <c r="O525" s="404" t="e">
        <f>'07'!#REF!</f>
        <v>#REF!</v>
      </c>
      <c r="P525" s="404" t="e">
        <f t="shared" si="123"/>
        <v>#REF!</v>
      </c>
    </row>
    <row r="526" spans="1:16" ht="24.75" customHeight="1" hidden="1">
      <c r="A526" s="394" t="s">
        <v>52</v>
      </c>
      <c r="B526" s="430" t="s">
        <v>138</v>
      </c>
      <c r="C526" s="404">
        <f>SUM(C527:C534)</f>
        <v>421719</v>
      </c>
      <c r="D526" s="404">
        <f aca="true" t="shared" si="125" ref="D526:L526">SUM(D527:D534)</f>
        <v>248719</v>
      </c>
      <c r="E526" s="404">
        <f t="shared" si="125"/>
        <v>158537</v>
      </c>
      <c r="F526" s="404">
        <f t="shared" si="125"/>
        <v>0</v>
      </c>
      <c r="G526" s="404">
        <f t="shared" si="125"/>
        <v>41000</v>
      </c>
      <c r="H526" s="404">
        <f t="shared" si="125"/>
        <v>44454</v>
      </c>
      <c r="I526" s="404">
        <f t="shared" si="125"/>
        <v>0</v>
      </c>
      <c r="J526" s="404">
        <f t="shared" si="125"/>
        <v>4728</v>
      </c>
      <c r="K526" s="404">
        <f t="shared" si="125"/>
        <v>0</v>
      </c>
      <c r="L526" s="404">
        <f t="shared" si="125"/>
        <v>173000</v>
      </c>
      <c r="M526" s="404" t="e">
        <f>'03'!#REF!+'04'!#REF!</f>
        <v>#REF!</v>
      </c>
      <c r="N526" s="404" t="e">
        <f t="shared" si="122"/>
        <v>#REF!</v>
      </c>
      <c r="O526" s="404" t="e">
        <f>'07'!#REF!</f>
        <v>#REF!</v>
      </c>
      <c r="P526" s="404" t="e">
        <f t="shared" si="123"/>
        <v>#REF!</v>
      </c>
    </row>
    <row r="527" spans="1:16" ht="24.75" customHeight="1" hidden="1">
      <c r="A527" s="428" t="s">
        <v>54</v>
      </c>
      <c r="B527" s="429" t="s">
        <v>139</v>
      </c>
      <c r="C527" s="404">
        <f aca="true" t="shared" si="126" ref="C527:C535">D527+K527+L527</f>
        <v>57757</v>
      </c>
      <c r="D527" s="404">
        <f aca="true" t="shared" si="127" ref="D527:D535">E527+F527+G527+H527+I527+J527</f>
        <v>57757</v>
      </c>
      <c r="E527" s="406">
        <v>4875</v>
      </c>
      <c r="F527" s="406">
        <v>0</v>
      </c>
      <c r="G527" s="406">
        <v>6700</v>
      </c>
      <c r="H527" s="406">
        <v>41454</v>
      </c>
      <c r="I527" s="406">
        <v>0</v>
      </c>
      <c r="J527" s="406">
        <v>4728</v>
      </c>
      <c r="K527" s="406">
        <v>0</v>
      </c>
      <c r="L527" s="406">
        <v>0</v>
      </c>
      <c r="M527" s="406" t="e">
        <f>'03'!#REF!+'04'!#REF!</f>
        <v>#REF!</v>
      </c>
      <c r="N527" s="406" t="e">
        <f t="shared" si="122"/>
        <v>#REF!</v>
      </c>
      <c r="O527" s="406" t="e">
        <f>'07'!#REF!</f>
        <v>#REF!</v>
      </c>
      <c r="P527" s="406" t="e">
        <f t="shared" si="123"/>
        <v>#REF!</v>
      </c>
    </row>
    <row r="528" spans="1:16" ht="24.75" customHeight="1" hidden="1">
      <c r="A528" s="428" t="s">
        <v>55</v>
      </c>
      <c r="B528" s="429" t="s">
        <v>140</v>
      </c>
      <c r="C528" s="404">
        <f t="shared" si="126"/>
        <v>0</v>
      </c>
      <c r="D528" s="404">
        <f t="shared" si="127"/>
        <v>0</v>
      </c>
      <c r="E528" s="406">
        <v>0</v>
      </c>
      <c r="F528" s="406">
        <v>0</v>
      </c>
      <c r="G528" s="406">
        <v>0</v>
      </c>
      <c r="H528" s="406">
        <v>0</v>
      </c>
      <c r="I528" s="406">
        <v>0</v>
      </c>
      <c r="J528" s="406">
        <v>0</v>
      </c>
      <c r="K528" s="406">
        <v>0</v>
      </c>
      <c r="L528" s="406">
        <v>0</v>
      </c>
      <c r="M528" s="406" t="e">
        <f>'03'!#REF!+'04'!#REF!</f>
        <v>#REF!</v>
      </c>
      <c r="N528" s="406" t="e">
        <f t="shared" si="122"/>
        <v>#REF!</v>
      </c>
      <c r="O528" s="406" t="e">
        <f>'07'!#REF!</f>
        <v>#REF!</v>
      </c>
      <c r="P528" s="406" t="e">
        <f t="shared" si="123"/>
        <v>#REF!</v>
      </c>
    </row>
    <row r="529" spans="1:16" ht="24.75" customHeight="1" hidden="1">
      <c r="A529" s="428" t="s">
        <v>141</v>
      </c>
      <c r="B529" s="429" t="s">
        <v>202</v>
      </c>
      <c r="C529" s="404">
        <f t="shared" si="126"/>
        <v>0</v>
      </c>
      <c r="D529" s="404">
        <f t="shared" si="127"/>
        <v>0</v>
      </c>
      <c r="E529" s="406">
        <v>0</v>
      </c>
      <c r="F529" s="406">
        <v>0</v>
      </c>
      <c r="G529" s="406">
        <v>0</v>
      </c>
      <c r="H529" s="406">
        <v>0</v>
      </c>
      <c r="I529" s="406">
        <v>0</v>
      </c>
      <c r="J529" s="406">
        <v>0</v>
      </c>
      <c r="K529" s="406">
        <v>0</v>
      </c>
      <c r="L529" s="406">
        <v>0</v>
      </c>
      <c r="M529" s="406" t="e">
        <f>'03'!#REF!</f>
        <v>#REF!</v>
      </c>
      <c r="N529" s="406" t="e">
        <f t="shared" si="122"/>
        <v>#REF!</v>
      </c>
      <c r="O529" s="406" t="e">
        <f>'07'!#REF!</f>
        <v>#REF!</v>
      </c>
      <c r="P529" s="406" t="e">
        <f t="shared" si="123"/>
        <v>#REF!</v>
      </c>
    </row>
    <row r="530" spans="1:16" ht="24.75" customHeight="1" hidden="1">
      <c r="A530" s="428" t="s">
        <v>143</v>
      </c>
      <c r="B530" s="429" t="s">
        <v>142</v>
      </c>
      <c r="C530" s="404">
        <f t="shared" si="126"/>
        <v>213822</v>
      </c>
      <c r="D530" s="404">
        <f t="shared" si="127"/>
        <v>40822</v>
      </c>
      <c r="E530" s="406">
        <v>3522</v>
      </c>
      <c r="F530" s="406">
        <v>0</v>
      </c>
      <c r="G530" s="406">
        <v>34300</v>
      </c>
      <c r="H530" s="406">
        <v>3000</v>
      </c>
      <c r="I530" s="406">
        <v>0</v>
      </c>
      <c r="J530" s="406">
        <v>0</v>
      </c>
      <c r="K530" s="406">
        <v>0</v>
      </c>
      <c r="L530" s="406">
        <v>173000</v>
      </c>
      <c r="M530" s="406" t="e">
        <f>'03'!#REF!+'04'!#REF!</f>
        <v>#REF!</v>
      </c>
      <c r="N530" s="406" t="e">
        <f t="shared" si="122"/>
        <v>#REF!</v>
      </c>
      <c r="O530" s="406" t="e">
        <f>'07'!#REF!</f>
        <v>#REF!</v>
      </c>
      <c r="P530" s="406" t="e">
        <f t="shared" si="123"/>
        <v>#REF!</v>
      </c>
    </row>
    <row r="531" spans="1:16" ht="24.75" customHeight="1" hidden="1">
      <c r="A531" s="428" t="s">
        <v>145</v>
      </c>
      <c r="B531" s="429" t="s">
        <v>144</v>
      </c>
      <c r="C531" s="404">
        <f t="shared" si="126"/>
        <v>0</v>
      </c>
      <c r="D531" s="404">
        <f t="shared" si="127"/>
        <v>0</v>
      </c>
      <c r="E531" s="406">
        <v>0</v>
      </c>
      <c r="F531" s="406">
        <v>0</v>
      </c>
      <c r="G531" s="406">
        <v>0</v>
      </c>
      <c r="H531" s="406">
        <v>0</v>
      </c>
      <c r="I531" s="406">
        <v>0</v>
      </c>
      <c r="J531" s="406">
        <v>0</v>
      </c>
      <c r="K531" s="406">
        <v>0</v>
      </c>
      <c r="L531" s="406">
        <v>0</v>
      </c>
      <c r="M531" s="406" t="e">
        <f>'03'!#REF!+'04'!#REF!</f>
        <v>#REF!</v>
      </c>
      <c r="N531" s="406" t="e">
        <f t="shared" si="122"/>
        <v>#REF!</v>
      </c>
      <c r="O531" s="406" t="e">
        <f>'07'!#REF!</f>
        <v>#REF!</v>
      </c>
      <c r="P531" s="406" t="e">
        <f t="shared" si="123"/>
        <v>#REF!</v>
      </c>
    </row>
    <row r="532" spans="1:16" ht="24.75" customHeight="1" hidden="1">
      <c r="A532" s="428" t="s">
        <v>147</v>
      </c>
      <c r="B532" s="429" t="s">
        <v>146</v>
      </c>
      <c r="C532" s="404">
        <f t="shared" si="126"/>
        <v>150140</v>
      </c>
      <c r="D532" s="404">
        <f t="shared" si="127"/>
        <v>150140</v>
      </c>
      <c r="E532" s="406">
        <v>150140</v>
      </c>
      <c r="F532" s="406">
        <v>0</v>
      </c>
      <c r="G532" s="406">
        <v>0</v>
      </c>
      <c r="H532" s="406">
        <v>0</v>
      </c>
      <c r="I532" s="406">
        <v>0</v>
      </c>
      <c r="J532" s="406">
        <v>0</v>
      </c>
      <c r="K532" s="406">
        <v>0</v>
      </c>
      <c r="L532" s="406">
        <v>0</v>
      </c>
      <c r="M532" s="406" t="e">
        <f>'03'!#REF!+'04'!#REF!</f>
        <v>#REF!</v>
      </c>
      <c r="N532" s="406" t="e">
        <f t="shared" si="122"/>
        <v>#REF!</v>
      </c>
      <c r="O532" s="406" t="e">
        <f>'07'!#REF!</f>
        <v>#REF!</v>
      </c>
      <c r="P532" s="406" t="e">
        <f t="shared" si="123"/>
        <v>#REF!</v>
      </c>
    </row>
    <row r="533" spans="1:16" ht="24.75" customHeight="1" hidden="1">
      <c r="A533" s="428" t="s">
        <v>149</v>
      </c>
      <c r="B533" s="431" t="s">
        <v>148</v>
      </c>
      <c r="C533" s="404">
        <f t="shared" si="126"/>
        <v>0</v>
      </c>
      <c r="D533" s="404">
        <f t="shared" si="127"/>
        <v>0</v>
      </c>
      <c r="E533" s="406">
        <v>0</v>
      </c>
      <c r="F533" s="406">
        <v>0</v>
      </c>
      <c r="G533" s="406">
        <v>0</v>
      </c>
      <c r="H533" s="406">
        <v>0</v>
      </c>
      <c r="I533" s="406">
        <v>0</v>
      </c>
      <c r="J533" s="406">
        <v>0</v>
      </c>
      <c r="K533" s="406">
        <v>0</v>
      </c>
      <c r="L533" s="406">
        <v>0</v>
      </c>
      <c r="M533" s="406" t="e">
        <f>'03'!#REF!+'04'!#REF!</f>
        <v>#REF!</v>
      </c>
      <c r="N533" s="406" t="e">
        <f t="shared" si="122"/>
        <v>#REF!</v>
      </c>
      <c r="O533" s="406" t="e">
        <f>'07'!#REF!</f>
        <v>#REF!</v>
      </c>
      <c r="P533" s="406" t="e">
        <f t="shared" si="123"/>
        <v>#REF!</v>
      </c>
    </row>
    <row r="534" spans="1:16" ht="24.75" customHeight="1" hidden="1">
      <c r="A534" s="428" t="s">
        <v>186</v>
      </c>
      <c r="B534" s="429" t="s">
        <v>150</v>
      </c>
      <c r="C534" s="404">
        <f t="shared" si="126"/>
        <v>0</v>
      </c>
      <c r="D534" s="404">
        <f t="shared" si="127"/>
        <v>0</v>
      </c>
      <c r="E534" s="406">
        <v>0</v>
      </c>
      <c r="F534" s="406">
        <v>0</v>
      </c>
      <c r="G534" s="406">
        <v>0</v>
      </c>
      <c r="H534" s="406">
        <v>0</v>
      </c>
      <c r="I534" s="406">
        <v>0</v>
      </c>
      <c r="J534" s="406">
        <v>0</v>
      </c>
      <c r="K534" s="406">
        <v>0</v>
      </c>
      <c r="L534" s="406">
        <v>0</v>
      </c>
      <c r="M534" s="406" t="e">
        <f>'03'!#REF!+'04'!#REF!</f>
        <v>#REF!</v>
      </c>
      <c r="N534" s="406" t="e">
        <f t="shared" si="122"/>
        <v>#REF!</v>
      </c>
      <c r="O534" s="406" t="e">
        <f>'07'!#REF!</f>
        <v>#REF!</v>
      </c>
      <c r="P534" s="406" t="e">
        <f t="shared" si="123"/>
        <v>#REF!</v>
      </c>
    </row>
    <row r="535" spans="1:16" ht="24.75" customHeight="1" hidden="1">
      <c r="A535" s="394" t="s">
        <v>53</v>
      </c>
      <c r="B535" s="395" t="s">
        <v>151</v>
      </c>
      <c r="C535" s="404">
        <f t="shared" si="126"/>
        <v>1046387</v>
      </c>
      <c r="D535" s="404">
        <f t="shared" si="127"/>
        <v>1046387</v>
      </c>
      <c r="E535" s="406">
        <v>35026</v>
      </c>
      <c r="F535" s="406">
        <v>0</v>
      </c>
      <c r="G535" s="406">
        <v>37361</v>
      </c>
      <c r="H535" s="406">
        <v>974000</v>
      </c>
      <c r="I535" s="406">
        <v>0</v>
      </c>
      <c r="J535" s="406">
        <v>0</v>
      </c>
      <c r="K535" s="406">
        <v>0</v>
      </c>
      <c r="L535" s="406">
        <v>0</v>
      </c>
      <c r="M535" s="404" t="e">
        <f>'03'!#REF!+'04'!#REF!</f>
        <v>#REF!</v>
      </c>
      <c r="N535" s="404" t="e">
        <f t="shared" si="122"/>
        <v>#REF!</v>
      </c>
      <c r="O535" s="404" t="e">
        <f>'07'!#REF!</f>
        <v>#REF!</v>
      </c>
      <c r="P535" s="404" t="e">
        <f t="shared" si="123"/>
        <v>#REF!</v>
      </c>
    </row>
    <row r="536" spans="1:16" ht="24.75" customHeight="1" hidden="1">
      <c r="A536" s="452" t="s">
        <v>76</v>
      </c>
      <c r="B536" s="477" t="s">
        <v>215</v>
      </c>
      <c r="C536" s="461">
        <f>(C527+C528+C529)/C526</f>
        <v>0.13695612481296787</v>
      </c>
      <c r="D536" s="396">
        <f aca="true" t="shared" si="128" ref="D536:L536">(D527+D528+D529)/D526</f>
        <v>0.2322178844398699</v>
      </c>
      <c r="E536" s="412">
        <f t="shared" si="128"/>
        <v>0.030749919577133415</v>
      </c>
      <c r="F536" s="412" t="e">
        <f t="shared" si="128"/>
        <v>#DIV/0!</v>
      </c>
      <c r="G536" s="412">
        <f t="shared" si="128"/>
        <v>0.16341463414634147</v>
      </c>
      <c r="H536" s="412">
        <f t="shared" si="128"/>
        <v>0.9325145093804832</v>
      </c>
      <c r="I536" s="412" t="e">
        <f t="shared" si="128"/>
        <v>#DIV/0!</v>
      </c>
      <c r="J536" s="412">
        <f t="shared" si="128"/>
        <v>1</v>
      </c>
      <c r="K536" s="412" t="e">
        <f t="shared" si="128"/>
        <v>#DIV/0!</v>
      </c>
      <c r="L536" s="412">
        <f t="shared" si="128"/>
        <v>0</v>
      </c>
      <c r="M536" s="422"/>
      <c r="N536" s="478"/>
      <c r="O536" s="478"/>
      <c r="P536" s="478"/>
    </row>
    <row r="537" spans="1:16" ht="17.25" hidden="1">
      <c r="A537" s="1548" t="s">
        <v>498</v>
      </c>
      <c r="B537" s="1548"/>
      <c r="C537" s="406">
        <f>C520-C523-C524-C525</f>
        <v>0</v>
      </c>
      <c r="D537" s="406">
        <f aca="true" t="shared" si="129" ref="D537:L537">D520-D523-D524-D525</f>
        <v>0</v>
      </c>
      <c r="E537" s="406">
        <f t="shared" si="129"/>
        <v>0</v>
      </c>
      <c r="F537" s="406">
        <f t="shared" si="129"/>
        <v>0</v>
      </c>
      <c r="G537" s="406">
        <f t="shared" si="129"/>
        <v>0</v>
      </c>
      <c r="H537" s="406">
        <f t="shared" si="129"/>
        <v>0</v>
      </c>
      <c r="I537" s="406">
        <f t="shared" si="129"/>
        <v>0</v>
      </c>
      <c r="J537" s="406">
        <f t="shared" si="129"/>
        <v>0</v>
      </c>
      <c r="K537" s="406">
        <f t="shared" si="129"/>
        <v>0</v>
      </c>
      <c r="L537" s="406">
        <f t="shared" si="129"/>
        <v>0</v>
      </c>
      <c r="M537" s="422"/>
      <c r="N537" s="478"/>
      <c r="O537" s="478"/>
      <c r="P537" s="478"/>
    </row>
    <row r="538" spans="1:16" ht="17.25" hidden="1">
      <c r="A538" s="1549" t="s">
        <v>499</v>
      </c>
      <c r="B538" s="1549"/>
      <c r="C538" s="406">
        <f>C525-C526-C535</f>
        <v>0</v>
      </c>
      <c r="D538" s="406">
        <f aca="true" t="shared" si="130" ref="D538:L538">D525-D526-D535</f>
        <v>0</v>
      </c>
      <c r="E538" s="406">
        <f t="shared" si="130"/>
        <v>0</v>
      </c>
      <c r="F538" s="406">
        <f t="shared" si="130"/>
        <v>0</v>
      </c>
      <c r="G538" s="406">
        <f t="shared" si="130"/>
        <v>0</v>
      </c>
      <c r="H538" s="406">
        <f t="shared" si="130"/>
        <v>0</v>
      </c>
      <c r="I538" s="406">
        <f t="shared" si="130"/>
        <v>0</v>
      </c>
      <c r="J538" s="406">
        <f t="shared" si="130"/>
        <v>0</v>
      </c>
      <c r="K538" s="406">
        <f t="shared" si="130"/>
        <v>0</v>
      </c>
      <c r="L538" s="406">
        <f t="shared" si="130"/>
        <v>0</v>
      </c>
      <c r="M538" s="422"/>
      <c r="N538" s="478"/>
      <c r="O538" s="478"/>
      <c r="P538" s="478"/>
    </row>
    <row r="539" spans="1:16" ht="18.75" hidden="1">
      <c r="A539" s="463"/>
      <c r="B539" s="479" t="s">
        <v>518</v>
      </c>
      <c r="C539" s="479"/>
      <c r="D539" s="453"/>
      <c r="E539" s="453"/>
      <c r="F539" s="453"/>
      <c r="G539" s="1575" t="s">
        <v>518</v>
      </c>
      <c r="H539" s="1575"/>
      <c r="I539" s="1575"/>
      <c r="J539" s="1575"/>
      <c r="K539" s="1575"/>
      <c r="L539" s="1575"/>
      <c r="M539" s="466"/>
      <c r="N539" s="466"/>
      <c r="O539" s="466"/>
      <c r="P539" s="466"/>
    </row>
    <row r="540" spans="1:16" ht="18.75" hidden="1">
      <c r="A540" s="1576" t="s">
        <v>4</v>
      </c>
      <c r="B540" s="1576"/>
      <c r="C540" s="1576"/>
      <c r="D540" s="1576"/>
      <c r="E540" s="453"/>
      <c r="F540" s="453"/>
      <c r="G540" s="480"/>
      <c r="H540" s="1577" t="s">
        <v>519</v>
      </c>
      <c r="I540" s="1577"/>
      <c r="J540" s="1577"/>
      <c r="K540" s="1577"/>
      <c r="L540" s="1577"/>
      <c r="M540" s="466"/>
      <c r="N540" s="466"/>
      <c r="O540" s="466"/>
      <c r="P540" s="466"/>
    </row>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sheetData>
  <sheetProtection/>
  <mergeCells count="341">
    <mergeCell ref="N6:P6"/>
    <mergeCell ref="M518:P518"/>
    <mergeCell ref="A519:B519"/>
    <mergeCell ref="A537:B537"/>
    <mergeCell ref="K513:L513"/>
    <mergeCell ref="A512:B512"/>
    <mergeCell ref="C515:C518"/>
    <mergeCell ref="D517:D518"/>
    <mergeCell ref="K514:L514"/>
    <mergeCell ref="E517:J517"/>
    <mergeCell ref="G539:L539"/>
    <mergeCell ref="A540:D540"/>
    <mergeCell ref="H540:L540"/>
    <mergeCell ref="A538:B538"/>
    <mergeCell ref="D515:L515"/>
    <mergeCell ref="D516:J516"/>
    <mergeCell ref="K516:K518"/>
    <mergeCell ref="L516:L518"/>
    <mergeCell ref="A510:B510"/>
    <mergeCell ref="D510:J510"/>
    <mergeCell ref="K510:L510"/>
    <mergeCell ref="A511:C511"/>
    <mergeCell ref="D511:J511"/>
    <mergeCell ref="K511:L511"/>
    <mergeCell ref="D512:J512"/>
    <mergeCell ref="K512:L512"/>
    <mergeCell ref="A515:B518"/>
    <mergeCell ref="M475:P475"/>
    <mergeCell ref="A476:B476"/>
    <mergeCell ref="A494:B494"/>
    <mergeCell ref="A495:B495"/>
    <mergeCell ref="L473:L475"/>
    <mergeCell ref="D474:D475"/>
    <mergeCell ref="E474:J474"/>
    <mergeCell ref="G496:L496"/>
    <mergeCell ref="A497:D497"/>
    <mergeCell ref="H497:L497"/>
    <mergeCell ref="K470:L470"/>
    <mergeCell ref="K471:L471"/>
    <mergeCell ref="A472:B475"/>
    <mergeCell ref="C472:C475"/>
    <mergeCell ref="D472:L472"/>
    <mergeCell ref="D473:J473"/>
    <mergeCell ref="K473:K475"/>
    <mergeCell ref="A468:C468"/>
    <mergeCell ref="D468:J468"/>
    <mergeCell ref="K468:L468"/>
    <mergeCell ref="A469:B469"/>
    <mergeCell ref="D469:J469"/>
    <mergeCell ref="K469:L469"/>
    <mergeCell ref="A467:B467"/>
    <mergeCell ref="D467:J467"/>
    <mergeCell ref="K467:L467"/>
    <mergeCell ref="L431:L433"/>
    <mergeCell ref="D432:D433"/>
    <mergeCell ref="E432:J432"/>
    <mergeCell ref="A453:B453"/>
    <mergeCell ref="G454:L454"/>
    <mergeCell ref="A455:D455"/>
    <mergeCell ref="H455:L455"/>
    <mergeCell ref="M433:P433"/>
    <mergeCell ref="A434:B434"/>
    <mergeCell ref="A452:B452"/>
    <mergeCell ref="A427:B427"/>
    <mergeCell ref="D427:J427"/>
    <mergeCell ref="K427:L427"/>
    <mergeCell ref="K428:L428"/>
    <mergeCell ref="K429:L429"/>
    <mergeCell ref="A430:B433"/>
    <mergeCell ref="C430:C433"/>
    <mergeCell ref="D430:L430"/>
    <mergeCell ref="D431:J431"/>
    <mergeCell ref="K431:K433"/>
    <mergeCell ref="A425:B425"/>
    <mergeCell ref="D425:J425"/>
    <mergeCell ref="K425:L425"/>
    <mergeCell ref="A426:C426"/>
    <mergeCell ref="D426:J426"/>
    <mergeCell ref="K426:L426"/>
    <mergeCell ref="M386:P386"/>
    <mergeCell ref="A387:B387"/>
    <mergeCell ref="A405:B405"/>
    <mergeCell ref="A406:B406"/>
    <mergeCell ref="L384:L386"/>
    <mergeCell ref="D385:D386"/>
    <mergeCell ref="E385:J385"/>
    <mergeCell ref="G407:L407"/>
    <mergeCell ref="A408:D408"/>
    <mergeCell ref="H408:L408"/>
    <mergeCell ref="K381:L381"/>
    <mergeCell ref="A383:B386"/>
    <mergeCell ref="C383:C386"/>
    <mergeCell ref="D383:L383"/>
    <mergeCell ref="D384:J384"/>
    <mergeCell ref="K384:K386"/>
    <mergeCell ref="A379:C379"/>
    <mergeCell ref="D379:J379"/>
    <mergeCell ref="K379:L379"/>
    <mergeCell ref="A380:B380"/>
    <mergeCell ref="D380:J380"/>
    <mergeCell ref="K380:L380"/>
    <mergeCell ref="A378:B378"/>
    <mergeCell ref="D378:J378"/>
    <mergeCell ref="K378:L378"/>
    <mergeCell ref="L341:L343"/>
    <mergeCell ref="D342:D343"/>
    <mergeCell ref="E342:J342"/>
    <mergeCell ref="A363:B363"/>
    <mergeCell ref="G364:L364"/>
    <mergeCell ref="A365:D365"/>
    <mergeCell ref="H365:L365"/>
    <mergeCell ref="M343:P343"/>
    <mergeCell ref="A344:B344"/>
    <mergeCell ref="A362:B362"/>
    <mergeCell ref="A337:B337"/>
    <mergeCell ref="D337:J337"/>
    <mergeCell ref="K337:L337"/>
    <mergeCell ref="K338:L338"/>
    <mergeCell ref="K339:L339"/>
    <mergeCell ref="A340:B343"/>
    <mergeCell ref="C340:C343"/>
    <mergeCell ref="D340:L340"/>
    <mergeCell ref="D341:J341"/>
    <mergeCell ref="K341:K343"/>
    <mergeCell ref="A335:B335"/>
    <mergeCell ref="D335:J335"/>
    <mergeCell ref="K335:L335"/>
    <mergeCell ref="A336:C336"/>
    <mergeCell ref="D336:J336"/>
    <mergeCell ref="K336:L336"/>
    <mergeCell ref="M300:P300"/>
    <mergeCell ref="A301:B301"/>
    <mergeCell ref="A319:B319"/>
    <mergeCell ref="A320:B320"/>
    <mergeCell ref="L298:L300"/>
    <mergeCell ref="D299:D300"/>
    <mergeCell ref="E299:J299"/>
    <mergeCell ref="A322:D322"/>
    <mergeCell ref="H322:L322"/>
    <mergeCell ref="K295:L295"/>
    <mergeCell ref="K296:L296"/>
    <mergeCell ref="A297:B300"/>
    <mergeCell ref="C297:C300"/>
    <mergeCell ref="D297:L297"/>
    <mergeCell ref="D298:J298"/>
    <mergeCell ref="K298:K300"/>
    <mergeCell ref="G321:L321"/>
    <mergeCell ref="A292:B292"/>
    <mergeCell ref="D292:J292"/>
    <mergeCell ref="K292:L292"/>
    <mergeCell ref="A293:C293"/>
    <mergeCell ref="D293:J293"/>
    <mergeCell ref="K293:L293"/>
    <mergeCell ref="D257:D258"/>
    <mergeCell ref="E257:J257"/>
    <mergeCell ref="A294:B294"/>
    <mergeCell ref="D294:J294"/>
    <mergeCell ref="G279:L279"/>
    <mergeCell ref="A280:D280"/>
    <mergeCell ref="H280:L280"/>
    <mergeCell ref="A277:B277"/>
    <mergeCell ref="A278:B278"/>
    <mergeCell ref="K294:L294"/>
    <mergeCell ref="M258:P258"/>
    <mergeCell ref="A259:B259"/>
    <mergeCell ref="K252:L252"/>
    <mergeCell ref="K253:L253"/>
    <mergeCell ref="A255:B258"/>
    <mergeCell ref="C255:C258"/>
    <mergeCell ref="D255:L255"/>
    <mergeCell ref="D256:J256"/>
    <mergeCell ref="K256:K258"/>
    <mergeCell ref="L256:L258"/>
    <mergeCell ref="K250:L250"/>
    <mergeCell ref="A251:C251"/>
    <mergeCell ref="D251:J251"/>
    <mergeCell ref="K251:L251"/>
    <mergeCell ref="A252:B252"/>
    <mergeCell ref="D252:J252"/>
    <mergeCell ref="A250:B250"/>
    <mergeCell ref="D250:J250"/>
    <mergeCell ref="M219:P219"/>
    <mergeCell ref="A220:B220"/>
    <mergeCell ref="A238:B238"/>
    <mergeCell ref="A239:B239"/>
    <mergeCell ref="L217:L219"/>
    <mergeCell ref="D218:D219"/>
    <mergeCell ref="E218:J218"/>
    <mergeCell ref="G240:L240"/>
    <mergeCell ref="A241:D241"/>
    <mergeCell ref="H241:L241"/>
    <mergeCell ref="K214:L214"/>
    <mergeCell ref="K215:L215"/>
    <mergeCell ref="A216:B219"/>
    <mergeCell ref="C216:C219"/>
    <mergeCell ref="D216:L216"/>
    <mergeCell ref="D217:J217"/>
    <mergeCell ref="K217:K219"/>
    <mergeCell ref="A212:C212"/>
    <mergeCell ref="D212:J212"/>
    <mergeCell ref="K212:L212"/>
    <mergeCell ref="A213:B213"/>
    <mergeCell ref="D213:J213"/>
    <mergeCell ref="K213:L213"/>
    <mergeCell ref="A211:B211"/>
    <mergeCell ref="D211:J211"/>
    <mergeCell ref="K211:L211"/>
    <mergeCell ref="L177:L179"/>
    <mergeCell ref="D178:D179"/>
    <mergeCell ref="E178:J178"/>
    <mergeCell ref="A199:B199"/>
    <mergeCell ref="G200:L200"/>
    <mergeCell ref="A201:D201"/>
    <mergeCell ref="H201:L201"/>
    <mergeCell ref="M179:P179"/>
    <mergeCell ref="A180:B180"/>
    <mergeCell ref="A198:B198"/>
    <mergeCell ref="A173:B173"/>
    <mergeCell ref="D173:J173"/>
    <mergeCell ref="K173:L173"/>
    <mergeCell ref="K175:L175"/>
    <mergeCell ref="A176:B179"/>
    <mergeCell ref="C176:C179"/>
    <mergeCell ref="D176:L176"/>
    <mergeCell ref="D177:J177"/>
    <mergeCell ref="K177:K179"/>
    <mergeCell ref="A171:B171"/>
    <mergeCell ref="D171:J171"/>
    <mergeCell ref="K171:L171"/>
    <mergeCell ref="A172:C172"/>
    <mergeCell ref="D172:J172"/>
    <mergeCell ref="K172:L172"/>
    <mergeCell ref="M138:P138"/>
    <mergeCell ref="A139:B139"/>
    <mergeCell ref="A157:B157"/>
    <mergeCell ref="A158:B158"/>
    <mergeCell ref="L136:L138"/>
    <mergeCell ref="D137:D138"/>
    <mergeCell ref="E137:J137"/>
    <mergeCell ref="G159:L159"/>
    <mergeCell ref="A160:D160"/>
    <mergeCell ref="H160:L160"/>
    <mergeCell ref="K133:L133"/>
    <mergeCell ref="K134:L134"/>
    <mergeCell ref="A135:B138"/>
    <mergeCell ref="C135:C138"/>
    <mergeCell ref="D135:L135"/>
    <mergeCell ref="D136:J136"/>
    <mergeCell ref="K136:K138"/>
    <mergeCell ref="A131:C131"/>
    <mergeCell ref="D131:J131"/>
    <mergeCell ref="K131:L131"/>
    <mergeCell ref="A132:B132"/>
    <mergeCell ref="D132:J132"/>
    <mergeCell ref="K132:L132"/>
    <mergeCell ref="A130:B130"/>
    <mergeCell ref="D130:J130"/>
    <mergeCell ref="K130:L130"/>
    <mergeCell ref="L93:L95"/>
    <mergeCell ref="D94:D95"/>
    <mergeCell ref="E94:J94"/>
    <mergeCell ref="A115:B115"/>
    <mergeCell ref="G116:L116"/>
    <mergeCell ref="A117:D117"/>
    <mergeCell ref="H117:L117"/>
    <mergeCell ref="M95:P95"/>
    <mergeCell ref="A96:B96"/>
    <mergeCell ref="A114:B114"/>
    <mergeCell ref="A89:B89"/>
    <mergeCell ref="D89:J89"/>
    <mergeCell ref="K89:L89"/>
    <mergeCell ref="K90:L90"/>
    <mergeCell ref="K91:L91"/>
    <mergeCell ref="A92:B95"/>
    <mergeCell ref="C92:C95"/>
    <mergeCell ref="D92:L92"/>
    <mergeCell ref="D93:J93"/>
    <mergeCell ref="K93:K95"/>
    <mergeCell ref="A87:B87"/>
    <mergeCell ref="D87:J87"/>
    <mergeCell ref="K87:L87"/>
    <mergeCell ref="A88:C88"/>
    <mergeCell ref="D88:J88"/>
    <mergeCell ref="K88:L88"/>
    <mergeCell ref="M54:P54"/>
    <mergeCell ref="A55:B55"/>
    <mergeCell ref="A73:B73"/>
    <mergeCell ref="A74:B74"/>
    <mergeCell ref="L52:L54"/>
    <mergeCell ref="D53:D54"/>
    <mergeCell ref="E53:J53"/>
    <mergeCell ref="G75:L75"/>
    <mergeCell ref="A76:D76"/>
    <mergeCell ref="H76:L76"/>
    <mergeCell ref="K49:L49"/>
    <mergeCell ref="K50:L50"/>
    <mergeCell ref="A51:B54"/>
    <mergeCell ref="C51:C54"/>
    <mergeCell ref="D51:L51"/>
    <mergeCell ref="D52:J52"/>
    <mergeCell ref="K52:K54"/>
    <mergeCell ref="A47:C47"/>
    <mergeCell ref="D47:J47"/>
    <mergeCell ref="K47:L47"/>
    <mergeCell ref="A48:B48"/>
    <mergeCell ref="D48:J48"/>
    <mergeCell ref="K48:L48"/>
    <mergeCell ref="A38:D38"/>
    <mergeCell ref="H38:L38"/>
    <mergeCell ref="A31:D31"/>
    <mergeCell ref="H31:L31"/>
    <mergeCell ref="H32:L32"/>
    <mergeCell ref="K3:L3"/>
    <mergeCell ref="A46:B46"/>
    <mergeCell ref="D46:J46"/>
    <mergeCell ref="K46:L46"/>
    <mergeCell ref="K4:L4"/>
    <mergeCell ref="K5:L5"/>
    <mergeCell ref="D6:L6"/>
    <mergeCell ref="D7:J7"/>
    <mergeCell ref="K7:K9"/>
    <mergeCell ref="L7:L9"/>
    <mergeCell ref="K1:L1"/>
    <mergeCell ref="A2:C2"/>
    <mergeCell ref="D2:J2"/>
    <mergeCell ref="K2:L2"/>
    <mergeCell ref="E5:I5"/>
    <mergeCell ref="A1:B1"/>
    <mergeCell ref="A3:B3"/>
    <mergeCell ref="D1:J1"/>
    <mergeCell ref="D3:J3"/>
    <mergeCell ref="M9:P9"/>
    <mergeCell ref="B32:C32"/>
    <mergeCell ref="C6:C9"/>
    <mergeCell ref="D8:D9"/>
    <mergeCell ref="A10:B10"/>
    <mergeCell ref="A6:B9"/>
    <mergeCell ref="A28:B28"/>
    <mergeCell ref="A29:B29"/>
    <mergeCell ref="I30:L30"/>
    <mergeCell ref="E8:J8"/>
  </mergeCells>
  <printOptions/>
  <pageMargins left="0" right="0" top="0" bottom="0" header="0.196850393700787" footer="0.196850393700787"/>
  <pageSetup horizontalDpi="600" verticalDpi="600" orientation="landscape" paperSize="9" r:id="rId2"/>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X86"/>
  <sheetViews>
    <sheetView showZeros="0" view="pageBreakPreview" zoomScaleSheetLayoutView="100" zoomScalePageLayoutView="0" workbookViewId="0" topLeftCell="A8">
      <selection activeCell="W60" sqref="W60"/>
    </sheetView>
  </sheetViews>
  <sheetFormatPr defaultColWidth="9.00390625" defaultRowHeight="15.75"/>
  <cols>
    <col min="1" max="1" width="3.50390625" style="26" customWidth="1"/>
    <col min="2" max="2" width="19.625" style="26" customWidth="1"/>
    <col min="3" max="3" width="9.50390625" style="26" customWidth="1"/>
    <col min="4" max="5" width="7.375" style="26" customWidth="1"/>
    <col min="6" max="6" width="7.25390625" style="26" customWidth="1"/>
    <col min="7" max="7" width="6.75390625" style="26" customWidth="1"/>
    <col min="8" max="8" width="8.875" style="26" customWidth="1"/>
    <col min="9" max="9" width="8.25390625" style="26" customWidth="1"/>
    <col min="10" max="10" width="8.125" style="26" customWidth="1"/>
    <col min="11" max="11" width="7.625" style="26" customWidth="1"/>
    <col min="12" max="12" width="7.875" style="26" customWidth="1"/>
    <col min="13" max="13" width="7.25390625" style="26" customWidth="1"/>
    <col min="14" max="14" width="7.125" style="26" customWidth="1"/>
    <col min="15" max="15" width="7.00390625" style="26" customWidth="1"/>
    <col min="16" max="16" width="6.75390625" style="26" customWidth="1"/>
    <col min="17" max="17" width="7.50390625" style="26" customWidth="1"/>
    <col min="18" max="19" width="6.75390625" style="26" customWidth="1"/>
    <col min="20" max="20" width="3.875" style="26" customWidth="1"/>
    <col min="21" max="21" width="6.875" style="26" customWidth="1"/>
    <col min="22" max="22" width="5.00390625" style="26" customWidth="1"/>
    <col min="23" max="23" width="6.625" style="26" customWidth="1"/>
    <col min="24" max="16384" width="9.00390625" style="26" customWidth="1"/>
  </cols>
  <sheetData>
    <row r="1" spans="1:19" ht="20.25" customHeight="1">
      <c r="A1" s="440" t="s">
        <v>34</v>
      </c>
      <c r="B1" s="440"/>
      <c r="C1" s="440"/>
      <c r="E1" s="1604" t="s">
        <v>83</v>
      </c>
      <c r="F1" s="1604"/>
      <c r="G1" s="1604"/>
      <c r="H1" s="1604"/>
      <c r="I1" s="1604"/>
      <c r="J1" s="1604"/>
      <c r="K1" s="1604"/>
      <c r="L1" s="1604"/>
      <c r="M1" s="1604"/>
      <c r="N1" s="1604"/>
      <c r="O1" s="1604"/>
      <c r="P1" s="408" t="s">
        <v>574</v>
      </c>
      <c r="Q1" s="408"/>
      <c r="R1" s="408"/>
      <c r="S1" s="408"/>
    </row>
    <row r="2" spans="1:19" ht="17.25" customHeight="1">
      <c r="A2" s="1608" t="s">
        <v>342</v>
      </c>
      <c r="B2" s="1608"/>
      <c r="C2" s="1608"/>
      <c r="D2" s="1608"/>
      <c r="E2" s="1605" t="s">
        <v>42</v>
      </c>
      <c r="F2" s="1605"/>
      <c r="G2" s="1605"/>
      <c r="H2" s="1605"/>
      <c r="I2" s="1605"/>
      <c r="J2" s="1605"/>
      <c r="K2" s="1605"/>
      <c r="L2" s="1605"/>
      <c r="M2" s="1605"/>
      <c r="N2" s="1605"/>
      <c r="O2" s="1605"/>
      <c r="P2" s="1609" t="str">
        <f>'Thong tin'!B4</f>
        <v>Cục THADS tỉnh Bình Thuận</v>
      </c>
      <c r="Q2" s="1609"/>
      <c r="R2" s="1609"/>
      <c r="S2" s="1609"/>
    </row>
    <row r="3" spans="1:19" ht="19.5" customHeight="1">
      <c r="A3" s="1608" t="s">
        <v>343</v>
      </c>
      <c r="B3" s="1608"/>
      <c r="C3" s="1608"/>
      <c r="D3" s="1608"/>
      <c r="E3" s="1606" t="str">
        <f>'Thong tin'!B3</f>
        <v>12 tháng / năm 2016</v>
      </c>
      <c r="F3" s="1606"/>
      <c r="G3" s="1606"/>
      <c r="H3" s="1606"/>
      <c r="I3" s="1606"/>
      <c r="J3" s="1606"/>
      <c r="K3" s="1606"/>
      <c r="L3" s="1606"/>
      <c r="M3" s="1606"/>
      <c r="N3" s="1606"/>
      <c r="O3" s="1606"/>
      <c r="P3" s="408" t="s">
        <v>575</v>
      </c>
      <c r="Q3" s="440"/>
      <c r="R3" s="408"/>
      <c r="S3" s="408"/>
    </row>
    <row r="4" spans="1:19" ht="14.25" customHeight="1">
      <c r="A4" s="411" t="s">
        <v>217</v>
      </c>
      <c r="B4" s="440"/>
      <c r="C4" s="440"/>
      <c r="D4" s="440"/>
      <c r="E4" s="440"/>
      <c r="F4" s="440"/>
      <c r="G4" s="440"/>
      <c r="H4" s="440"/>
      <c r="I4" s="440"/>
      <c r="J4" s="440"/>
      <c r="K4" s="440"/>
      <c r="L4" s="440"/>
      <c r="M4" s="440"/>
      <c r="N4" s="482"/>
      <c r="O4" s="482"/>
      <c r="P4" s="1598" t="s">
        <v>410</v>
      </c>
      <c r="Q4" s="1598"/>
      <c r="R4" s="1598"/>
      <c r="S4" s="1598"/>
    </row>
    <row r="5" spans="2:19" ht="21.75" customHeight="1">
      <c r="B5" s="438"/>
      <c r="C5" s="438"/>
      <c r="Q5" s="483" t="s">
        <v>341</v>
      </c>
      <c r="R5" s="484"/>
      <c r="S5" s="484"/>
    </row>
    <row r="6" spans="1:19" ht="19.5" customHeight="1">
      <c r="A6" s="1599" t="s">
        <v>72</v>
      </c>
      <c r="B6" s="1599"/>
      <c r="C6" s="1601" t="s">
        <v>218</v>
      </c>
      <c r="D6" s="1601"/>
      <c r="E6" s="1601"/>
      <c r="F6" s="1600" t="s">
        <v>134</v>
      </c>
      <c r="G6" s="1600" t="s">
        <v>219</v>
      </c>
      <c r="H6" s="1607" t="s">
        <v>137</v>
      </c>
      <c r="I6" s="1607"/>
      <c r="J6" s="1607"/>
      <c r="K6" s="1607"/>
      <c r="L6" s="1607"/>
      <c r="M6" s="1607"/>
      <c r="N6" s="1607"/>
      <c r="O6" s="1607"/>
      <c r="P6" s="1607"/>
      <c r="Q6" s="1607"/>
      <c r="R6" s="1601" t="s">
        <v>352</v>
      </c>
      <c r="S6" s="1601" t="s">
        <v>577</v>
      </c>
    </row>
    <row r="7" spans="1:19" s="408" customFormat="1" ht="27" customHeight="1">
      <c r="A7" s="1599"/>
      <c r="B7" s="1599"/>
      <c r="C7" s="1601" t="s">
        <v>51</v>
      </c>
      <c r="D7" s="1602" t="s">
        <v>7</v>
      </c>
      <c r="E7" s="1602"/>
      <c r="F7" s="1600"/>
      <c r="G7" s="1600"/>
      <c r="H7" s="1600" t="s">
        <v>137</v>
      </c>
      <c r="I7" s="1601" t="s">
        <v>138</v>
      </c>
      <c r="J7" s="1601"/>
      <c r="K7" s="1601"/>
      <c r="L7" s="1601"/>
      <c r="M7" s="1601"/>
      <c r="N7" s="1601"/>
      <c r="O7" s="1601"/>
      <c r="P7" s="1601"/>
      <c r="Q7" s="1600" t="s">
        <v>151</v>
      </c>
      <c r="R7" s="1601"/>
      <c r="S7" s="1601"/>
    </row>
    <row r="8" spans="1:19" ht="21.75" customHeight="1">
      <c r="A8" s="1599"/>
      <c r="B8" s="1599"/>
      <c r="C8" s="1601"/>
      <c r="D8" s="1602" t="s">
        <v>221</v>
      </c>
      <c r="E8" s="1602" t="s">
        <v>222</v>
      </c>
      <c r="F8" s="1600"/>
      <c r="G8" s="1600"/>
      <c r="H8" s="1600"/>
      <c r="I8" s="1600" t="s">
        <v>576</v>
      </c>
      <c r="J8" s="1602" t="s">
        <v>7</v>
      </c>
      <c r="K8" s="1602"/>
      <c r="L8" s="1602"/>
      <c r="M8" s="1602"/>
      <c r="N8" s="1602"/>
      <c r="O8" s="1602"/>
      <c r="P8" s="1602"/>
      <c r="Q8" s="1600"/>
      <c r="R8" s="1601"/>
      <c r="S8" s="1601"/>
    </row>
    <row r="9" spans="1:19" ht="84" customHeight="1">
      <c r="A9" s="1599"/>
      <c r="B9" s="1599"/>
      <c r="C9" s="1601"/>
      <c r="D9" s="1602"/>
      <c r="E9" s="1602"/>
      <c r="F9" s="1600"/>
      <c r="G9" s="1600"/>
      <c r="H9" s="1600"/>
      <c r="I9" s="1600"/>
      <c r="J9" s="1090" t="s">
        <v>223</v>
      </c>
      <c r="K9" s="1090" t="s">
        <v>224</v>
      </c>
      <c r="L9" s="1091" t="s">
        <v>142</v>
      </c>
      <c r="M9" s="1091" t="s">
        <v>225</v>
      </c>
      <c r="N9" s="1091" t="s">
        <v>146</v>
      </c>
      <c r="O9" s="1091" t="s">
        <v>353</v>
      </c>
      <c r="P9" s="1091" t="s">
        <v>150</v>
      </c>
      <c r="Q9" s="1600"/>
      <c r="R9" s="1601"/>
      <c r="S9" s="1601"/>
    </row>
    <row r="10" spans="1:19" ht="18.75" customHeight="1">
      <c r="A10" s="1593" t="s">
        <v>6</v>
      </c>
      <c r="B10" s="1594"/>
      <c r="C10" s="485">
        <v>1</v>
      </c>
      <c r="D10" s="485">
        <v>2</v>
      </c>
      <c r="E10" s="485">
        <v>3</v>
      </c>
      <c r="F10" s="485">
        <v>4</v>
      </c>
      <c r="G10" s="485">
        <v>5</v>
      </c>
      <c r="H10" s="485">
        <v>6</v>
      </c>
      <c r="I10" s="485">
        <v>7</v>
      </c>
      <c r="J10" s="485">
        <v>8</v>
      </c>
      <c r="K10" s="485">
        <v>9</v>
      </c>
      <c r="L10" s="485">
        <v>10</v>
      </c>
      <c r="M10" s="485">
        <v>11</v>
      </c>
      <c r="N10" s="485">
        <v>12</v>
      </c>
      <c r="O10" s="485">
        <v>13</v>
      </c>
      <c r="P10" s="485">
        <v>14</v>
      </c>
      <c r="Q10" s="485">
        <v>15</v>
      </c>
      <c r="R10" s="485">
        <v>16</v>
      </c>
      <c r="S10" s="486">
        <v>17</v>
      </c>
    </row>
    <row r="11" spans="1:24" ht="25.5" customHeight="1">
      <c r="A11" s="1595" t="s">
        <v>37</v>
      </c>
      <c r="B11" s="1596"/>
      <c r="C11" s="1092">
        <f>C12+C25</f>
        <v>17575</v>
      </c>
      <c r="D11" s="1092">
        <f aca="true" t="shared" si="0" ref="D11:Q11">D12+D25</f>
        <v>5842</v>
      </c>
      <c r="E11" s="1092">
        <f t="shared" si="0"/>
        <v>11733</v>
      </c>
      <c r="F11" s="1092">
        <f t="shared" si="0"/>
        <v>264</v>
      </c>
      <c r="G11" s="1092">
        <f t="shared" si="0"/>
        <v>43</v>
      </c>
      <c r="H11" s="1092">
        <f t="shared" si="0"/>
        <v>17311</v>
      </c>
      <c r="I11" s="1092">
        <f t="shared" si="0"/>
        <v>14762</v>
      </c>
      <c r="J11" s="1092">
        <f t="shared" si="0"/>
        <v>10288</v>
      </c>
      <c r="K11" s="1092">
        <f t="shared" si="0"/>
        <v>531</v>
      </c>
      <c r="L11" s="1092">
        <f t="shared" si="0"/>
        <v>3609</v>
      </c>
      <c r="M11" s="1092">
        <f t="shared" si="0"/>
        <v>105</v>
      </c>
      <c r="N11" s="1092">
        <f t="shared" si="0"/>
        <v>22</v>
      </c>
      <c r="O11" s="1092">
        <f t="shared" si="0"/>
        <v>10</v>
      </c>
      <c r="P11" s="1092">
        <f t="shared" si="0"/>
        <v>197</v>
      </c>
      <c r="Q11" s="1092">
        <f t="shared" si="0"/>
        <v>2549</v>
      </c>
      <c r="R11" s="1092">
        <f>R12+R25</f>
        <v>6492</v>
      </c>
      <c r="S11" s="1006">
        <f>(J11+K11)/I11*100</f>
        <v>73.28952716434087</v>
      </c>
      <c r="T11" s="818">
        <f>Q11+I11+F11-C11</f>
        <v>0</v>
      </c>
      <c r="U11" s="1168">
        <f>(J11+K11+L11+M11+N11+O11+P11)/H11*100</f>
        <v>85.27525850615217</v>
      </c>
      <c r="V11" s="1160"/>
      <c r="W11" s="1162">
        <f>L11+M11+N11+O11+P11</f>
        <v>3943</v>
      </c>
      <c r="X11" s="1161"/>
    </row>
    <row r="12" spans="1:24" ht="25.5" customHeight="1">
      <c r="A12" s="708" t="s">
        <v>0</v>
      </c>
      <c r="B12" s="709" t="s">
        <v>683</v>
      </c>
      <c r="C12" s="1092">
        <f>SUM(C13:C24)</f>
        <v>489</v>
      </c>
      <c r="D12" s="1092">
        <f aca="true" t="shared" si="1" ref="D12:Q12">SUM(D13:D24)</f>
        <v>340</v>
      </c>
      <c r="E12" s="1092">
        <f t="shared" si="1"/>
        <v>149</v>
      </c>
      <c r="F12" s="1092">
        <f t="shared" si="1"/>
        <v>13</v>
      </c>
      <c r="G12" s="1092">
        <f t="shared" si="1"/>
        <v>0</v>
      </c>
      <c r="H12" s="1092">
        <f t="shared" si="1"/>
        <v>476</v>
      </c>
      <c r="I12" s="1092">
        <f t="shared" si="1"/>
        <v>363</v>
      </c>
      <c r="J12" s="1092">
        <f t="shared" si="1"/>
        <v>145</v>
      </c>
      <c r="K12" s="1092">
        <f t="shared" si="1"/>
        <v>15</v>
      </c>
      <c r="L12" s="1092">
        <f t="shared" si="1"/>
        <v>183</v>
      </c>
      <c r="M12" s="1092">
        <f t="shared" si="1"/>
        <v>8</v>
      </c>
      <c r="N12" s="1092">
        <f t="shared" si="1"/>
        <v>4</v>
      </c>
      <c r="O12" s="1092">
        <f t="shared" si="1"/>
        <v>0</v>
      </c>
      <c r="P12" s="1092">
        <f t="shared" si="1"/>
        <v>8</v>
      </c>
      <c r="Q12" s="1092">
        <f t="shared" si="1"/>
        <v>113</v>
      </c>
      <c r="R12" s="1092">
        <f>L12+M12+N12+O12+P12+Q12</f>
        <v>316</v>
      </c>
      <c r="S12" s="1006">
        <f>(J12+K12)/I12*100</f>
        <v>44.0771349862259</v>
      </c>
      <c r="T12" s="818">
        <f aca="true" t="shared" si="2" ref="T12:T74">Q12+I12+F12-C12</f>
        <v>0</v>
      </c>
      <c r="U12" s="1159">
        <f aca="true" t="shared" si="3" ref="U12:U75">(J12+K12+L12+M12+N12+O12+P12)/H12*100</f>
        <v>76.26050420168067</v>
      </c>
      <c r="V12" s="1160"/>
      <c r="W12" s="1163">
        <f aca="true" t="shared" si="4" ref="W12:W74">L12+M12+N12+O12+P12</f>
        <v>203</v>
      </c>
      <c r="X12" s="1161"/>
    </row>
    <row r="13" spans="1:24" ht="21.75" customHeight="1">
      <c r="A13" s="710" t="s">
        <v>52</v>
      </c>
      <c r="B13" s="711" t="s">
        <v>682</v>
      </c>
      <c r="C13" s="1092">
        <f>D13+E13</f>
        <v>2</v>
      </c>
      <c r="D13" s="1093">
        <v>0</v>
      </c>
      <c r="E13" s="1093">
        <v>2</v>
      </c>
      <c r="F13" s="1094">
        <v>0</v>
      </c>
      <c r="G13" s="1094">
        <v>0</v>
      </c>
      <c r="H13" s="1092">
        <f>I13+Q13</f>
        <v>2</v>
      </c>
      <c r="I13" s="1092">
        <f>J13+K13+L13+M13+N13+O13+P13</f>
        <v>2</v>
      </c>
      <c r="J13" s="1093">
        <v>2</v>
      </c>
      <c r="K13" s="1093">
        <v>0</v>
      </c>
      <c r="L13" s="1093">
        <v>0</v>
      </c>
      <c r="M13" s="1093">
        <v>0</v>
      </c>
      <c r="N13" s="1093">
        <v>0</v>
      </c>
      <c r="O13" s="1093">
        <v>0</v>
      </c>
      <c r="P13" s="1095">
        <v>0</v>
      </c>
      <c r="Q13" s="1096">
        <v>0</v>
      </c>
      <c r="R13" s="1097">
        <f>L13+M13+N13+O13+P13+Q13</f>
        <v>0</v>
      </c>
      <c r="S13" s="1007">
        <f>(J13+K13)/I13*100</f>
        <v>100</v>
      </c>
      <c r="T13" s="818">
        <f t="shared" si="2"/>
        <v>0</v>
      </c>
      <c r="U13" s="1159">
        <f t="shared" si="3"/>
        <v>100</v>
      </c>
      <c r="V13" s="1160"/>
      <c r="W13" s="1152">
        <f t="shared" si="4"/>
        <v>0</v>
      </c>
      <c r="X13" s="1161"/>
    </row>
    <row r="14" spans="1:24" ht="21.75" customHeight="1">
      <c r="A14" s="710" t="s">
        <v>53</v>
      </c>
      <c r="B14" s="711" t="s">
        <v>684</v>
      </c>
      <c r="C14" s="1092">
        <f>D14+E14</f>
        <v>17</v>
      </c>
      <c r="D14" s="1093">
        <v>3</v>
      </c>
      <c r="E14" s="1093">
        <v>14</v>
      </c>
      <c r="F14" s="1094">
        <v>0</v>
      </c>
      <c r="G14" s="1094">
        <v>0</v>
      </c>
      <c r="H14" s="1092">
        <f>I14+Q14</f>
        <v>17</v>
      </c>
      <c r="I14" s="1092">
        <f>J14+K14+L14+M14+N14+O14+P14</f>
        <v>15</v>
      </c>
      <c r="J14" s="1093">
        <v>8</v>
      </c>
      <c r="K14" s="1093">
        <v>0</v>
      </c>
      <c r="L14" s="1093">
        <v>7</v>
      </c>
      <c r="M14" s="1093">
        <v>0</v>
      </c>
      <c r="N14" s="1093">
        <v>0</v>
      </c>
      <c r="O14" s="1093">
        <v>0</v>
      </c>
      <c r="P14" s="1095">
        <v>0</v>
      </c>
      <c r="Q14" s="1096">
        <v>2</v>
      </c>
      <c r="R14" s="1097">
        <f>L14+M14+N14+O14+P14+Q14</f>
        <v>9</v>
      </c>
      <c r="S14" s="1007">
        <f>(J14+K14)/I14*100</f>
        <v>53.333333333333336</v>
      </c>
      <c r="T14" s="818">
        <f t="shared" si="2"/>
        <v>0</v>
      </c>
      <c r="U14" s="1159">
        <f t="shared" si="3"/>
        <v>88.23529411764706</v>
      </c>
      <c r="V14" s="1160"/>
      <c r="W14" s="1152">
        <f t="shared" si="4"/>
        <v>7</v>
      </c>
      <c r="X14" s="1161"/>
    </row>
    <row r="15" spans="1:24" ht="23.25" customHeight="1">
      <c r="A15" s="710" t="s">
        <v>58</v>
      </c>
      <c r="B15" s="711" t="s">
        <v>685</v>
      </c>
      <c r="C15" s="1092">
        <f>D15+E15</f>
        <v>6</v>
      </c>
      <c r="D15" s="1093">
        <v>0</v>
      </c>
      <c r="E15" s="1093">
        <v>6</v>
      </c>
      <c r="F15" s="1094">
        <v>0</v>
      </c>
      <c r="G15" s="1094">
        <v>0</v>
      </c>
      <c r="H15" s="1092">
        <f>I15+Q15</f>
        <v>6</v>
      </c>
      <c r="I15" s="1092">
        <f>J15+K15+L15+M15+N15+O15+P15</f>
        <v>6</v>
      </c>
      <c r="J15" s="1093">
        <v>4</v>
      </c>
      <c r="K15" s="1093">
        <v>0</v>
      </c>
      <c r="L15" s="1093">
        <v>2</v>
      </c>
      <c r="M15" s="1093">
        <v>0</v>
      </c>
      <c r="N15" s="1093">
        <v>0</v>
      </c>
      <c r="O15" s="1093">
        <v>0</v>
      </c>
      <c r="P15" s="1095">
        <v>0</v>
      </c>
      <c r="Q15" s="1096">
        <v>0</v>
      </c>
      <c r="R15" s="1097">
        <f>L15+M15+N15+O15+P15+Q15</f>
        <v>2</v>
      </c>
      <c r="S15" s="1007">
        <f>(J15+K15)/I15*100</f>
        <v>66.66666666666666</v>
      </c>
      <c r="T15" s="818">
        <f t="shared" si="2"/>
        <v>0</v>
      </c>
      <c r="U15" s="1159">
        <f t="shared" si="3"/>
        <v>100</v>
      </c>
      <c r="V15" s="1160"/>
      <c r="W15" s="1152">
        <f t="shared" si="4"/>
        <v>2</v>
      </c>
      <c r="X15" s="1161"/>
    </row>
    <row r="16" spans="1:24" ht="25.5" customHeight="1">
      <c r="A16" s="710" t="s">
        <v>73</v>
      </c>
      <c r="B16" s="711" t="s">
        <v>686</v>
      </c>
      <c r="C16" s="1092">
        <f aca="true" t="shared" si="5" ref="C16:C24">D16+E16</f>
        <v>66</v>
      </c>
      <c r="D16" s="1093">
        <v>60</v>
      </c>
      <c r="E16" s="1093">
        <v>6</v>
      </c>
      <c r="F16" s="1094">
        <v>1</v>
      </c>
      <c r="G16" s="1094">
        <v>0</v>
      </c>
      <c r="H16" s="1092">
        <f aca="true" t="shared" si="6" ref="H16:H24">I16+Q16</f>
        <v>65</v>
      </c>
      <c r="I16" s="1092">
        <f aca="true" t="shared" si="7" ref="I16:I24">J16+K16+L16+M16+N16+O16+P16</f>
        <v>50</v>
      </c>
      <c r="J16" s="1093">
        <v>23</v>
      </c>
      <c r="K16" s="1093">
        <v>8</v>
      </c>
      <c r="L16" s="1093">
        <v>19</v>
      </c>
      <c r="M16" s="1093">
        <v>0</v>
      </c>
      <c r="N16" s="1093">
        <v>0</v>
      </c>
      <c r="O16" s="1093">
        <v>0</v>
      </c>
      <c r="P16" s="1095">
        <v>0</v>
      </c>
      <c r="Q16" s="1096">
        <v>15</v>
      </c>
      <c r="R16" s="1097">
        <f aca="true" t="shared" si="8" ref="R16:R24">L16+M16+N16+O16+P16+Q16</f>
        <v>34</v>
      </c>
      <c r="S16" s="1007">
        <f aca="true" t="shared" si="9" ref="S16:S77">(J16+K16)/I16*100</f>
        <v>62</v>
      </c>
      <c r="T16" s="818">
        <f t="shared" si="2"/>
        <v>0</v>
      </c>
      <c r="U16" s="1159">
        <f t="shared" si="3"/>
        <v>76.92307692307693</v>
      </c>
      <c r="V16" s="1160"/>
      <c r="W16" s="1152">
        <f t="shared" si="4"/>
        <v>19</v>
      </c>
      <c r="X16" s="1161"/>
    </row>
    <row r="17" spans="1:24" ht="25.5" customHeight="1">
      <c r="A17" s="710" t="s">
        <v>74</v>
      </c>
      <c r="B17" s="711" t="s">
        <v>687</v>
      </c>
      <c r="C17" s="1092">
        <f t="shared" si="5"/>
        <v>53</v>
      </c>
      <c r="D17" s="1093">
        <v>38</v>
      </c>
      <c r="E17" s="1093">
        <v>15</v>
      </c>
      <c r="F17" s="1094">
        <v>3</v>
      </c>
      <c r="G17" s="1094">
        <v>0</v>
      </c>
      <c r="H17" s="1092">
        <f t="shared" si="6"/>
        <v>50</v>
      </c>
      <c r="I17" s="1092">
        <f t="shared" si="7"/>
        <v>37</v>
      </c>
      <c r="J17" s="1093">
        <v>18</v>
      </c>
      <c r="K17" s="1093">
        <v>0</v>
      </c>
      <c r="L17" s="1093">
        <v>9</v>
      </c>
      <c r="M17" s="1093">
        <v>4</v>
      </c>
      <c r="N17" s="1093">
        <v>0</v>
      </c>
      <c r="O17" s="1093">
        <v>0</v>
      </c>
      <c r="P17" s="1095">
        <v>6</v>
      </c>
      <c r="Q17" s="1096">
        <v>13</v>
      </c>
      <c r="R17" s="1097">
        <f t="shared" si="8"/>
        <v>32</v>
      </c>
      <c r="S17" s="1007">
        <f t="shared" si="9"/>
        <v>48.64864864864865</v>
      </c>
      <c r="T17" s="818">
        <f t="shared" si="2"/>
        <v>0</v>
      </c>
      <c r="U17" s="1159">
        <f t="shared" si="3"/>
        <v>74</v>
      </c>
      <c r="V17" s="1160"/>
      <c r="W17" s="1152">
        <f t="shared" si="4"/>
        <v>19</v>
      </c>
      <c r="X17" s="1161"/>
    </row>
    <row r="18" spans="1:24" ht="25.5" customHeight="1">
      <c r="A18" s="710" t="s">
        <v>75</v>
      </c>
      <c r="B18" s="711" t="s">
        <v>688</v>
      </c>
      <c r="C18" s="1092">
        <f t="shared" si="5"/>
        <v>21</v>
      </c>
      <c r="D18" s="1093">
        <v>19</v>
      </c>
      <c r="E18" s="1093">
        <v>2</v>
      </c>
      <c r="F18" s="1094">
        <v>2</v>
      </c>
      <c r="G18" s="1094">
        <v>0</v>
      </c>
      <c r="H18" s="1092">
        <f t="shared" si="6"/>
        <v>19</v>
      </c>
      <c r="I18" s="1092">
        <f t="shared" si="7"/>
        <v>12</v>
      </c>
      <c r="J18" s="1093">
        <v>3</v>
      </c>
      <c r="K18" s="1093">
        <v>0</v>
      </c>
      <c r="L18" s="1093">
        <v>9</v>
      </c>
      <c r="M18" s="1093">
        <v>0</v>
      </c>
      <c r="N18" s="1093">
        <v>0</v>
      </c>
      <c r="O18" s="1093">
        <v>0</v>
      </c>
      <c r="P18" s="1095">
        <v>0</v>
      </c>
      <c r="Q18" s="1096">
        <v>7</v>
      </c>
      <c r="R18" s="1097">
        <f t="shared" si="8"/>
        <v>16</v>
      </c>
      <c r="S18" s="1007">
        <f t="shared" si="9"/>
        <v>25</v>
      </c>
      <c r="T18" s="818">
        <f t="shared" si="2"/>
        <v>0</v>
      </c>
      <c r="U18" s="1159">
        <f t="shared" si="3"/>
        <v>63.1578947368421</v>
      </c>
      <c r="V18" s="1160"/>
      <c r="W18" s="1152">
        <f t="shared" si="4"/>
        <v>9</v>
      </c>
      <c r="X18" s="1161"/>
    </row>
    <row r="19" spans="1:24" ht="25.5" customHeight="1">
      <c r="A19" s="710" t="s">
        <v>76</v>
      </c>
      <c r="B19" s="711" t="s">
        <v>689</v>
      </c>
      <c r="C19" s="1092">
        <f t="shared" si="5"/>
        <v>71</v>
      </c>
      <c r="D19" s="1093">
        <v>49</v>
      </c>
      <c r="E19" s="1093">
        <v>22</v>
      </c>
      <c r="F19" s="1094">
        <v>1</v>
      </c>
      <c r="G19" s="1094">
        <v>0</v>
      </c>
      <c r="H19" s="1092">
        <f t="shared" si="6"/>
        <v>70</v>
      </c>
      <c r="I19" s="1092">
        <f t="shared" si="7"/>
        <v>56</v>
      </c>
      <c r="J19" s="1093">
        <v>10</v>
      </c>
      <c r="K19" s="1093">
        <v>3</v>
      </c>
      <c r="L19" s="1093">
        <v>39</v>
      </c>
      <c r="M19" s="1093">
        <v>2</v>
      </c>
      <c r="N19" s="1093">
        <v>2</v>
      </c>
      <c r="O19" s="1093">
        <v>0</v>
      </c>
      <c r="P19" s="1095">
        <v>0</v>
      </c>
      <c r="Q19" s="1096">
        <v>14</v>
      </c>
      <c r="R19" s="1097">
        <f t="shared" si="8"/>
        <v>57</v>
      </c>
      <c r="S19" s="1007">
        <f t="shared" si="9"/>
        <v>23.214285714285715</v>
      </c>
      <c r="T19" s="818">
        <f t="shared" si="2"/>
        <v>0</v>
      </c>
      <c r="U19" s="1159">
        <f t="shared" si="3"/>
        <v>80</v>
      </c>
      <c r="V19" s="1160"/>
      <c r="W19" s="1152">
        <f t="shared" si="4"/>
        <v>43</v>
      </c>
      <c r="X19" s="1161"/>
    </row>
    <row r="20" spans="1:24" ht="25.5" customHeight="1">
      <c r="A20" s="710" t="s">
        <v>77</v>
      </c>
      <c r="B20" s="1081" t="s">
        <v>690</v>
      </c>
      <c r="C20" s="1092">
        <f t="shared" si="5"/>
        <v>38</v>
      </c>
      <c r="D20" s="1093">
        <v>30</v>
      </c>
      <c r="E20" s="1093">
        <v>8</v>
      </c>
      <c r="F20" s="1094">
        <v>0</v>
      </c>
      <c r="G20" s="1094">
        <v>0</v>
      </c>
      <c r="H20" s="1092">
        <f t="shared" si="6"/>
        <v>38</v>
      </c>
      <c r="I20" s="1092">
        <f t="shared" si="7"/>
        <v>28</v>
      </c>
      <c r="J20" s="1093">
        <v>9</v>
      </c>
      <c r="K20" s="1093">
        <v>0</v>
      </c>
      <c r="L20" s="1093">
        <v>18</v>
      </c>
      <c r="M20" s="1093">
        <v>1</v>
      </c>
      <c r="N20" s="1093">
        <v>0</v>
      </c>
      <c r="O20" s="1093">
        <v>0</v>
      </c>
      <c r="P20" s="1095">
        <v>0</v>
      </c>
      <c r="Q20" s="1096">
        <v>10</v>
      </c>
      <c r="R20" s="1097">
        <f t="shared" si="8"/>
        <v>29</v>
      </c>
      <c r="S20" s="1007">
        <f t="shared" si="9"/>
        <v>32.142857142857146</v>
      </c>
      <c r="T20" s="818">
        <f t="shared" si="2"/>
        <v>0</v>
      </c>
      <c r="U20" s="1159">
        <f t="shared" si="3"/>
        <v>73.68421052631578</v>
      </c>
      <c r="V20" s="1160"/>
      <c r="W20" s="1152">
        <f t="shared" si="4"/>
        <v>19</v>
      </c>
      <c r="X20" s="1161"/>
    </row>
    <row r="21" spans="1:24" ht="25.5" customHeight="1">
      <c r="A21" s="710" t="s">
        <v>78</v>
      </c>
      <c r="B21" s="1081" t="s">
        <v>691</v>
      </c>
      <c r="C21" s="1092">
        <f t="shared" si="5"/>
        <v>27</v>
      </c>
      <c r="D21" s="1093">
        <v>17</v>
      </c>
      <c r="E21" s="1093">
        <v>10</v>
      </c>
      <c r="F21" s="1094">
        <v>2</v>
      </c>
      <c r="G21" s="1094">
        <v>0</v>
      </c>
      <c r="H21" s="1092">
        <f t="shared" si="6"/>
        <v>25</v>
      </c>
      <c r="I21" s="1092">
        <f t="shared" si="7"/>
        <v>22</v>
      </c>
      <c r="J21" s="1093">
        <v>13</v>
      </c>
      <c r="K21" s="1093">
        <v>0</v>
      </c>
      <c r="L21" s="1093">
        <v>9</v>
      </c>
      <c r="M21" s="1093">
        <v>0</v>
      </c>
      <c r="N21" s="1093">
        <v>0</v>
      </c>
      <c r="O21" s="1093">
        <v>0</v>
      </c>
      <c r="P21" s="1095">
        <v>0</v>
      </c>
      <c r="Q21" s="1096">
        <v>3</v>
      </c>
      <c r="R21" s="1097">
        <f t="shared" si="8"/>
        <v>12</v>
      </c>
      <c r="S21" s="1007">
        <f t="shared" si="9"/>
        <v>59.09090909090909</v>
      </c>
      <c r="T21" s="818">
        <f t="shared" si="2"/>
        <v>0</v>
      </c>
      <c r="U21" s="1159">
        <f t="shared" si="3"/>
        <v>88</v>
      </c>
      <c r="V21" s="1160"/>
      <c r="W21" s="1152">
        <f t="shared" si="4"/>
        <v>9</v>
      </c>
      <c r="X21" s="1161"/>
    </row>
    <row r="22" spans="1:24" ht="25.5" customHeight="1">
      <c r="A22" s="710" t="s">
        <v>101</v>
      </c>
      <c r="B22" s="711" t="s">
        <v>692</v>
      </c>
      <c r="C22" s="1092">
        <f t="shared" si="5"/>
        <v>68</v>
      </c>
      <c r="D22" s="1093">
        <v>51</v>
      </c>
      <c r="E22" s="1093">
        <v>17</v>
      </c>
      <c r="F22" s="1094">
        <v>2</v>
      </c>
      <c r="G22" s="1094">
        <v>0</v>
      </c>
      <c r="H22" s="1092">
        <f t="shared" si="6"/>
        <v>66</v>
      </c>
      <c r="I22" s="1092">
        <f t="shared" si="7"/>
        <v>35</v>
      </c>
      <c r="J22" s="1093">
        <v>20</v>
      </c>
      <c r="K22" s="1093">
        <v>0</v>
      </c>
      <c r="L22" s="1093">
        <v>11</v>
      </c>
      <c r="M22" s="1093">
        <v>0</v>
      </c>
      <c r="N22" s="1093">
        <v>2</v>
      </c>
      <c r="O22" s="1093">
        <v>0</v>
      </c>
      <c r="P22" s="1095">
        <v>2</v>
      </c>
      <c r="Q22" s="1096">
        <v>31</v>
      </c>
      <c r="R22" s="1097">
        <f t="shared" si="8"/>
        <v>46</v>
      </c>
      <c r="S22" s="1007">
        <f t="shared" si="9"/>
        <v>57.14285714285714</v>
      </c>
      <c r="T22" s="818">
        <f t="shared" si="2"/>
        <v>0</v>
      </c>
      <c r="U22" s="1159">
        <f t="shared" si="3"/>
        <v>53.03030303030303</v>
      </c>
      <c r="V22" s="1160"/>
      <c r="W22" s="1152">
        <f t="shared" si="4"/>
        <v>15</v>
      </c>
      <c r="X22" s="1161"/>
    </row>
    <row r="23" spans="1:24" ht="24.75" customHeight="1">
      <c r="A23" s="710" t="s">
        <v>102</v>
      </c>
      <c r="B23" s="711" t="s">
        <v>693</v>
      </c>
      <c r="C23" s="1092">
        <f t="shared" si="5"/>
        <v>69</v>
      </c>
      <c r="D23" s="1093">
        <v>49</v>
      </c>
      <c r="E23" s="1093">
        <v>20</v>
      </c>
      <c r="F23" s="1094">
        <v>0</v>
      </c>
      <c r="G23" s="1094">
        <v>0</v>
      </c>
      <c r="H23" s="1092">
        <f t="shared" si="6"/>
        <v>69</v>
      </c>
      <c r="I23" s="1092">
        <f t="shared" si="7"/>
        <v>54</v>
      </c>
      <c r="J23" s="1093">
        <v>21</v>
      </c>
      <c r="K23" s="1093">
        <v>1</v>
      </c>
      <c r="L23" s="1093">
        <v>32</v>
      </c>
      <c r="M23" s="1093">
        <v>0</v>
      </c>
      <c r="N23" s="1093">
        <v>0</v>
      </c>
      <c r="O23" s="1093">
        <v>0</v>
      </c>
      <c r="P23" s="1095">
        <v>0</v>
      </c>
      <c r="Q23" s="1096">
        <v>15</v>
      </c>
      <c r="R23" s="1097">
        <f t="shared" si="8"/>
        <v>47</v>
      </c>
      <c r="S23" s="1007">
        <f t="shared" si="9"/>
        <v>40.74074074074074</v>
      </c>
      <c r="T23" s="818">
        <f t="shared" si="2"/>
        <v>0</v>
      </c>
      <c r="U23" s="1159">
        <f t="shared" si="3"/>
        <v>78.26086956521739</v>
      </c>
      <c r="V23" s="1160"/>
      <c r="W23" s="1152">
        <f t="shared" si="4"/>
        <v>32</v>
      </c>
      <c r="X23" s="1161"/>
    </row>
    <row r="24" spans="1:24" ht="24.75" customHeight="1" thickBot="1">
      <c r="A24" s="712" t="s">
        <v>103</v>
      </c>
      <c r="B24" s="713" t="s">
        <v>694</v>
      </c>
      <c r="C24" s="1098">
        <f t="shared" si="5"/>
        <v>51</v>
      </c>
      <c r="D24" s="1099">
        <v>24</v>
      </c>
      <c r="E24" s="1099">
        <v>27</v>
      </c>
      <c r="F24" s="1100">
        <v>2</v>
      </c>
      <c r="G24" s="1100">
        <v>0</v>
      </c>
      <c r="H24" s="1098">
        <f t="shared" si="6"/>
        <v>49</v>
      </c>
      <c r="I24" s="1098">
        <f t="shared" si="7"/>
        <v>46</v>
      </c>
      <c r="J24" s="1099">
        <v>14</v>
      </c>
      <c r="K24" s="1099">
        <v>3</v>
      </c>
      <c r="L24" s="1099">
        <v>28</v>
      </c>
      <c r="M24" s="1099">
        <v>1</v>
      </c>
      <c r="N24" s="1099">
        <v>0</v>
      </c>
      <c r="O24" s="1099">
        <v>0</v>
      </c>
      <c r="P24" s="1101">
        <v>0</v>
      </c>
      <c r="Q24" s="1102">
        <v>3</v>
      </c>
      <c r="R24" s="1103">
        <f t="shared" si="8"/>
        <v>32</v>
      </c>
      <c r="S24" s="1008">
        <f t="shared" si="9"/>
        <v>36.95652173913043</v>
      </c>
      <c r="T24" s="818">
        <f t="shared" si="2"/>
        <v>0</v>
      </c>
      <c r="U24" s="1159">
        <f t="shared" si="3"/>
        <v>93.87755102040816</v>
      </c>
      <c r="V24" s="1160"/>
      <c r="W24" s="1152">
        <f t="shared" si="4"/>
        <v>29</v>
      </c>
      <c r="X24" s="1161"/>
    </row>
    <row r="25" spans="1:24" ht="24.75" customHeight="1" thickTop="1">
      <c r="A25" s="714" t="s">
        <v>1</v>
      </c>
      <c r="B25" s="715" t="s">
        <v>19</v>
      </c>
      <c r="C25" s="1104">
        <f aca="true" t="shared" si="10" ref="C25:Q25">C26+C37+C42+C48+C53+C57+C60+C66+C71+C75</f>
        <v>17086</v>
      </c>
      <c r="D25" s="1104">
        <f t="shared" si="10"/>
        <v>5502</v>
      </c>
      <c r="E25" s="1104">
        <f t="shared" si="10"/>
        <v>11584</v>
      </c>
      <c r="F25" s="1104">
        <f t="shared" si="10"/>
        <v>251</v>
      </c>
      <c r="G25" s="1104">
        <f t="shared" si="10"/>
        <v>43</v>
      </c>
      <c r="H25" s="1104">
        <f t="shared" si="10"/>
        <v>16835</v>
      </c>
      <c r="I25" s="1104">
        <f t="shared" si="10"/>
        <v>14399</v>
      </c>
      <c r="J25" s="1104">
        <f t="shared" si="10"/>
        <v>10143</v>
      </c>
      <c r="K25" s="1104">
        <f t="shared" si="10"/>
        <v>516</v>
      </c>
      <c r="L25" s="1104">
        <f t="shared" si="10"/>
        <v>3426</v>
      </c>
      <c r="M25" s="1104">
        <f t="shared" si="10"/>
        <v>97</v>
      </c>
      <c r="N25" s="1104">
        <f t="shared" si="10"/>
        <v>18</v>
      </c>
      <c r="O25" s="1104">
        <f t="shared" si="10"/>
        <v>10</v>
      </c>
      <c r="P25" s="1104">
        <f t="shared" si="10"/>
        <v>189</v>
      </c>
      <c r="Q25" s="1104">
        <f t="shared" si="10"/>
        <v>2436</v>
      </c>
      <c r="R25" s="1049">
        <f>L25+M25+N25+O25+P25+Q25</f>
        <v>6176</v>
      </c>
      <c r="S25" s="716">
        <f t="shared" si="9"/>
        <v>74.02597402597402</v>
      </c>
      <c r="T25" s="818">
        <f t="shared" si="2"/>
        <v>0</v>
      </c>
      <c r="U25" s="1159">
        <f t="shared" si="3"/>
        <v>85.53014553014553</v>
      </c>
      <c r="V25" s="1160"/>
      <c r="W25" s="1152">
        <f t="shared" si="4"/>
        <v>3740</v>
      </c>
      <c r="X25" s="1161"/>
    </row>
    <row r="26" spans="1:24" ht="24.75" customHeight="1">
      <c r="A26" s="708" t="s">
        <v>52</v>
      </c>
      <c r="B26" s="709" t="s">
        <v>695</v>
      </c>
      <c r="C26" s="1092">
        <f>SUM(C27:C36)</f>
        <v>3223</v>
      </c>
      <c r="D26" s="1092">
        <f aca="true" t="shared" si="11" ref="D26:Q26">SUM(D27:D36)</f>
        <v>1346</v>
      </c>
      <c r="E26" s="1092">
        <f t="shared" si="11"/>
        <v>1877</v>
      </c>
      <c r="F26" s="1092">
        <f t="shared" si="11"/>
        <v>60</v>
      </c>
      <c r="G26" s="1092">
        <f t="shared" si="11"/>
        <v>11</v>
      </c>
      <c r="H26" s="1092">
        <f t="shared" si="11"/>
        <v>3163</v>
      </c>
      <c r="I26" s="1092">
        <f t="shared" si="11"/>
        <v>2771</v>
      </c>
      <c r="J26" s="1092">
        <f t="shared" si="11"/>
        <v>1838</v>
      </c>
      <c r="K26" s="1092">
        <f t="shared" si="11"/>
        <v>139</v>
      </c>
      <c r="L26" s="1092">
        <f t="shared" si="11"/>
        <v>742</v>
      </c>
      <c r="M26" s="1092">
        <f t="shared" si="11"/>
        <v>29</v>
      </c>
      <c r="N26" s="1092">
        <f t="shared" si="11"/>
        <v>17</v>
      </c>
      <c r="O26" s="1092">
        <f t="shared" si="11"/>
        <v>0</v>
      </c>
      <c r="P26" s="1092">
        <f t="shared" si="11"/>
        <v>6</v>
      </c>
      <c r="Q26" s="1092">
        <f t="shared" si="11"/>
        <v>392</v>
      </c>
      <c r="R26" s="1049">
        <f>L26+M26+N26+O26+P26+Q26</f>
        <v>1186</v>
      </c>
      <c r="S26" s="1006">
        <f t="shared" si="9"/>
        <v>71.34608444604837</v>
      </c>
      <c r="T26" s="818">
        <f t="shared" si="2"/>
        <v>0</v>
      </c>
      <c r="U26" s="1159">
        <f t="shared" si="3"/>
        <v>87.60670249762883</v>
      </c>
      <c r="V26" s="1160"/>
      <c r="W26" s="1163">
        <f t="shared" si="4"/>
        <v>794</v>
      </c>
      <c r="X26" s="1161"/>
    </row>
    <row r="27" spans="1:24" ht="24.75" customHeight="1">
      <c r="A27" s="710" t="s">
        <v>54</v>
      </c>
      <c r="B27" s="1082" t="s">
        <v>696</v>
      </c>
      <c r="C27" s="1092">
        <f>D27+E27</f>
        <v>160</v>
      </c>
      <c r="D27" s="1105">
        <f>59-2</f>
        <v>57</v>
      </c>
      <c r="E27" s="1105">
        <v>103</v>
      </c>
      <c r="F27" s="1106">
        <v>4</v>
      </c>
      <c r="G27" s="1106">
        <v>2</v>
      </c>
      <c r="H27" s="1092">
        <f>I27+Q27</f>
        <v>156</v>
      </c>
      <c r="I27" s="1092">
        <f>J27+K27+L27+M27+N27+O27+P27</f>
        <v>152</v>
      </c>
      <c r="J27" s="1105">
        <v>106</v>
      </c>
      <c r="K27" s="1105">
        <v>3</v>
      </c>
      <c r="L27" s="1105">
        <v>23</v>
      </c>
      <c r="M27" s="1105">
        <v>17</v>
      </c>
      <c r="N27" s="1105">
        <v>3</v>
      </c>
      <c r="O27" s="1105"/>
      <c r="P27" s="1107">
        <v>0</v>
      </c>
      <c r="Q27" s="1108">
        <v>4</v>
      </c>
      <c r="R27" s="1109">
        <f aca="true" t="shared" si="12" ref="R27:R74">L27+M27+N27+O27+P27+Q27</f>
        <v>47</v>
      </c>
      <c r="S27" s="1007">
        <f t="shared" si="9"/>
        <v>71.71052631578947</v>
      </c>
      <c r="T27" s="818">
        <f t="shared" si="2"/>
        <v>0</v>
      </c>
      <c r="U27" s="1159">
        <f t="shared" si="3"/>
        <v>97.43589743589743</v>
      </c>
      <c r="V27" s="1160"/>
      <c r="W27" s="1152">
        <f t="shared" si="4"/>
        <v>43</v>
      </c>
      <c r="X27" s="1161"/>
    </row>
    <row r="28" spans="1:24" ht="24.75" customHeight="1">
      <c r="A28" s="710" t="s">
        <v>55</v>
      </c>
      <c r="B28" s="1082" t="s">
        <v>697</v>
      </c>
      <c r="C28" s="1092">
        <f aca="true" t="shared" si="13" ref="C28:C77">D28+E28</f>
        <v>264</v>
      </c>
      <c r="D28" s="1105">
        <v>208</v>
      </c>
      <c r="E28" s="1105">
        <v>56</v>
      </c>
      <c r="F28" s="1106">
        <v>1</v>
      </c>
      <c r="G28" s="1106"/>
      <c r="H28" s="1092">
        <f aca="true" t="shared" si="14" ref="H28:H77">I28+Q28</f>
        <v>263</v>
      </c>
      <c r="I28" s="1092">
        <f aca="true" t="shared" si="15" ref="I28:I77">J28+K28+L28+M28+N28+O28+P28</f>
        <v>221</v>
      </c>
      <c r="J28" s="1105">
        <v>79</v>
      </c>
      <c r="K28" s="1105">
        <v>18</v>
      </c>
      <c r="L28" s="1105">
        <v>119</v>
      </c>
      <c r="M28" s="1105">
        <v>3</v>
      </c>
      <c r="N28" s="1105">
        <v>2</v>
      </c>
      <c r="O28" s="1105"/>
      <c r="P28" s="1107">
        <v>0</v>
      </c>
      <c r="Q28" s="1108">
        <v>42</v>
      </c>
      <c r="R28" s="1109">
        <f t="shared" si="12"/>
        <v>166</v>
      </c>
      <c r="S28" s="1007">
        <f t="shared" si="9"/>
        <v>43.89140271493213</v>
      </c>
      <c r="T28" s="818">
        <f t="shared" si="2"/>
        <v>0</v>
      </c>
      <c r="U28" s="1159">
        <f t="shared" si="3"/>
        <v>84.03041825095056</v>
      </c>
      <c r="V28" s="1160"/>
      <c r="W28" s="1152">
        <f t="shared" si="4"/>
        <v>124</v>
      </c>
      <c r="X28" s="1161"/>
    </row>
    <row r="29" spans="1:24" ht="24.75" customHeight="1">
      <c r="A29" s="710" t="s">
        <v>141</v>
      </c>
      <c r="B29" s="1082" t="s">
        <v>698</v>
      </c>
      <c r="C29" s="1092">
        <f t="shared" si="13"/>
        <v>252</v>
      </c>
      <c r="D29" s="1105">
        <v>109</v>
      </c>
      <c r="E29" s="1105">
        <v>143</v>
      </c>
      <c r="F29" s="1106"/>
      <c r="G29" s="1106"/>
      <c r="H29" s="1092">
        <f t="shared" si="14"/>
        <v>252</v>
      </c>
      <c r="I29" s="1092">
        <f t="shared" si="15"/>
        <v>217</v>
      </c>
      <c r="J29" s="1105">
        <v>138</v>
      </c>
      <c r="K29" s="1105">
        <v>19</v>
      </c>
      <c r="L29" s="1105">
        <v>55</v>
      </c>
      <c r="M29" s="1105">
        <v>3</v>
      </c>
      <c r="N29" s="1105">
        <v>2</v>
      </c>
      <c r="O29" s="1105"/>
      <c r="P29" s="1107">
        <v>0</v>
      </c>
      <c r="Q29" s="1108">
        <v>35</v>
      </c>
      <c r="R29" s="1109">
        <f t="shared" si="12"/>
        <v>95</v>
      </c>
      <c r="S29" s="1007">
        <f t="shared" si="9"/>
        <v>72.35023041474655</v>
      </c>
      <c r="T29" s="818">
        <f t="shared" si="2"/>
        <v>0</v>
      </c>
      <c r="U29" s="1159">
        <f t="shared" si="3"/>
        <v>86.11111111111111</v>
      </c>
      <c r="V29" s="1160"/>
      <c r="W29" s="1152">
        <f t="shared" si="4"/>
        <v>60</v>
      </c>
      <c r="X29" s="1161"/>
    </row>
    <row r="30" spans="1:24" ht="24.75" customHeight="1">
      <c r="A30" s="710" t="s">
        <v>143</v>
      </c>
      <c r="B30" s="1082" t="s">
        <v>699</v>
      </c>
      <c r="C30" s="1092">
        <f t="shared" si="13"/>
        <v>418</v>
      </c>
      <c r="D30" s="1105">
        <v>169</v>
      </c>
      <c r="E30" s="1105">
        <v>249</v>
      </c>
      <c r="F30" s="1106">
        <v>3</v>
      </c>
      <c r="G30" s="1106">
        <v>2</v>
      </c>
      <c r="H30" s="1092">
        <f t="shared" si="14"/>
        <v>415</v>
      </c>
      <c r="I30" s="1092">
        <f t="shared" si="15"/>
        <v>366</v>
      </c>
      <c r="J30" s="1105">
        <v>247</v>
      </c>
      <c r="K30" s="1105">
        <v>24</v>
      </c>
      <c r="L30" s="1105">
        <v>94</v>
      </c>
      <c r="M30" s="1105">
        <v>1</v>
      </c>
      <c r="N30" s="1105"/>
      <c r="O30" s="1105"/>
      <c r="P30" s="1107">
        <v>0</v>
      </c>
      <c r="Q30" s="1108">
        <v>49</v>
      </c>
      <c r="R30" s="1109">
        <f t="shared" si="12"/>
        <v>144</v>
      </c>
      <c r="S30" s="1007">
        <f t="shared" si="9"/>
        <v>74.04371584699454</v>
      </c>
      <c r="T30" s="818">
        <f t="shared" si="2"/>
        <v>0</v>
      </c>
      <c r="U30" s="1159">
        <f t="shared" si="3"/>
        <v>88.19277108433735</v>
      </c>
      <c r="V30" s="1160"/>
      <c r="W30" s="1152">
        <f t="shared" si="4"/>
        <v>95</v>
      </c>
      <c r="X30" s="1161"/>
    </row>
    <row r="31" spans="1:24" ht="24.75" customHeight="1">
      <c r="A31" s="710" t="s">
        <v>145</v>
      </c>
      <c r="B31" s="1082" t="s">
        <v>700</v>
      </c>
      <c r="C31" s="1092">
        <f t="shared" si="13"/>
        <v>325</v>
      </c>
      <c r="D31" s="1105">
        <v>148</v>
      </c>
      <c r="E31" s="1105">
        <v>177</v>
      </c>
      <c r="F31" s="1106">
        <v>1</v>
      </c>
      <c r="G31" s="1106">
        <v>1</v>
      </c>
      <c r="H31" s="1092">
        <f t="shared" si="14"/>
        <v>324</v>
      </c>
      <c r="I31" s="1092">
        <f t="shared" si="15"/>
        <v>255</v>
      </c>
      <c r="J31" s="1105">
        <v>160</v>
      </c>
      <c r="K31" s="1105">
        <v>22</v>
      </c>
      <c r="L31" s="1105">
        <v>66</v>
      </c>
      <c r="M31" s="1105">
        <v>1</v>
      </c>
      <c r="N31" s="1105"/>
      <c r="O31" s="1105"/>
      <c r="P31" s="1107">
        <v>6</v>
      </c>
      <c r="Q31" s="1108">
        <v>69</v>
      </c>
      <c r="R31" s="1109">
        <f t="shared" si="12"/>
        <v>142</v>
      </c>
      <c r="S31" s="1007">
        <f t="shared" si="9"/>
        <v>71.37254901960785</v>
      </c>
      <c r="T31" s="818">
        <f t="shared" si="2"/>
        <v>0</v>
      </c>
      <c r="U31" s="1159">
        <f t="shared" si="3"/>
        <v>78.70370370370371</v>
      </c>
      <c r="V31" s="1160"/>
      <c r="W31" s="1152">
        <f t="shared" si="4"/>
        <v>73</v>
      </c>
      <c r="X31" s="1161"/>
    </row>
    <row r="32" spans="1:24" ht="24.75" customHeight="1">
      <c r="A32" s="710" t="s">
        <v>147</v>
      </c>
      <c r="B32" s="1082" t="s">
        <v>701</v>
      </c>
      <c r="C32" s="1092">
        <f t="shared" si="13"/>
        <v>354</v>
      </c>
      <c r="D32" s="1105">
        <v>188</v>
      </c>
      <c r="E32" s="1105">
        <v>166</v>
      </c>
      <c r="F32" s="1106">
        <v>4</v>
      </c>
      <c r="G32" s="1106">
        <v>1</v>
      </c>
      <c r="H32" s="1092">
        <f t="shared" si="14"/>
        <v>350</v>
      </c>
      <c r="I32" s="1092">
        <f t="shared" si="15"/>
        <v>275</v>
      </c>
      <c r="J32" s="1105">
        <v>182</v>
      </c>
      <c r="K32" s="1105">
        <v>15</v>
      </c>
      <c r="L32" s="1105">
        <v>70</v>
      </c>
      <c r="M32" s="1105">
        <v>0</v>
      </c>
      <c r="N32" s="1105">
        <v>8</v>
      </c>
      <c r="O32" s="1105"/>
      <c r="P32" s="1107">
        <v>0</v>
      </c>
      <c r="Q32" s="1108">
        <v>75</v>
      </c>
      <c r="R32" s="1109">
        <f t="shared" si="12"/>
        <v>153</v>
      </c>
      <c r="S32" s="1007">
        <f t="shared" si="9"/>
        <v>71.63636363636363</v>
      </c>
      <c r="T32" s="818">
        <f t="shared" si="2"/>
        <v>0</v>
      </c>
      <c r="U32" s="1159">
        <f t="shared" si="3"/>
        <v>78.57142857142857</v>
      </c>
      <c r="V32" s="1160"/>
      <c r="W32" s="1152">
        <f t="shared" si="4"/>
        <v>78</v>
      </c>
      <c r="X32" s="1161"/>
    </row>
    <row r="33" spans="1:24" ht="24.75" customHeight="1">
      <c r="A33" s="710" t="s">
        <v>149</v>
      </c>
      <c r="B33" s="1082" t="s">
        <v>702</v>
      </c>
      <c r="C33" s="1092">
        <f t="shared" si="13"/>
        <v>284</v>
      </c>
      <c r="D33" s="1105">
        <v>90</v>
      </c>
      <c r="E33" s="1105">
        <v>194</v>
      </c>
      <c r="F33" s="1106">
        <v>5</v>
      </c>
      <c r="G33" s="1106">
        <v>3</v>
      </c>
      <c r="H33" s="1092">
        <f t="shared" si="14"/>
        <v>279</v>
      </c>
      <c r="I33" s="1092">
        <f t="shared" si="15"/>
        <v>248</v>
      </c>
      <c r="J33" s="1105">
        <v>178</v>
      </c>
      <c r="K33" s="1105">
        <v>7</v>
      </c>
      <c r="L33" s="1105">
        <v>62</v>
      </c>
      <c r="M33" s="1105"/>
      <c r="N33" s="1105">
        <v>1</v>
      </c>
      <c r="O33" s="1105"/>
      <c r="P33" s="1107">
        <v>0</v>
      </c>
      <c r="Q33" s="1108">
        <v>31</v>
      </c>
      <c r="R33" s="1109">
        <f t="shared" si="12"/>
        <v>94</v>
      </c>
      <c r="S33" s="1007">
        <f t="shared" si="9"/>
        <v>74.59677419354838</v>
      </c>
      <c r="T33" s="818">
        <f t="shared" si="2"/>
        <v>0</v>
      </c>
      <c r="U33" s="1159">
        <f t="shared" si="3"/>
        <v>88.88888888888889</v>
      </c>
      <c r="V33" s="1160"/>
      <c r="W33" s="1152">
        <f t="shared" si="4"/>
        <v>63</v>
      </c>
      <c r="X33" s="1161"/>
    </row>
    <row r="34" spans="1:24" ht="24.75" customHeight="1">
      <c r="A34" s="710" t="s">
        <v>186</v>
      </c>
      <c r="B34" s="1082" t="s">
        <v>703</v>
      </c>
      <c r="C34" s="1092">
        <f t="shared" si="13"/>
        <v>466</v>
      </c>
      <c r="D34" s="1105">
        <v>180</v>
      </c>
      <c r="E34" s="1105">
        <v>286</v>
      </c>
      <c r="F34" s="1106">
        <v>18</v>
      </c>
      <c r="G34" s="1106"/>
      <c r="H34" s="1092">
        <f t="shared" si="14"/>
        <v>448</v>
      </c>
      <c r="I34" s="1092">
        <f t="shared" si="15"/>
        <v>428</v>
      </c>
      <c r="J34" s="1105">
        <v>301</v>
      </c>
      <c r="K34" s="1105">
        <v>10</v>
      </c>
      <c r="L34" s="1105">
        <v>116</v>
      </c>
      <c r="M34" s="1105"/>
      <c r="N34" s="1105">
        <v>1</v>
      </c>
      <c r="O34" s="1105"/>
      <c r="P34" s="1107"/>
      <c r="Q34" s="1108">
        <v>20</v>
      </c>
      <c r="R34" s="1109">
        <f t="shared" si="12"/>
        <v>137</v>
      </c>
      <c r="S34" s="1007">
        <f t="shared" si="9"/>
        <v>72.66355140186917</v>
      </c>
      <c r="T34" s="818">
        <f t="shared" si="2"/>
        <v>0</v>
      </c>
      <c r="U34" s="1159">
        <f t="shared" si="3"/>
        <v>95.53571428571429</v>
      </c>
      <c r="V34" s="1160"/>
      <c r="W34" s="1152">
        <f t="shared" si="4"/>
        <v>117</v>
      </c>
      <c r="X34" s="1161"/>
    </row>
    <row r="35" spans="1:24" ht="24.75" customHeight="1">
      <c r="A35" s="710" t="s">
        <v>573</v>
      </c>
      <c r="B35" s="1082" t="s">
        <v>704</v>
      </c>
      <c r="C35" s="1092">
        <f t="shared" si="13"/>
        <v>412</v>
      </c>
      <c r="D35" s="1105">
        <v>145</v>
      </c>
      <c r="E35" s="1105">
        <v>267</v>
      </c>
      <c r="F35" s="1106">
        <v>4</v>
      </c>
      <c r="G35" s="1106">
        <v>2</v>
      </c>
      <c r="H35" s="1092">
        <f t="shared" si="14"/>
        <v>408</v>
      </c>
      <c r="I35" s="1092">
        <f t="shared" si="15"/>
        <v>350</v>
      </c>
      <c r="J35" s="1105">
        <v>255</v>
      </c>
      <c r="K35" s="1105">
        <v>11</v>
      </c>
      <c r="L35" s="1105">
        <v>80</v>
      </c>
      <c r="M35" s="1105">
        <v>4</v>
      </c>
      <c r="N35" s="1105"/>
      <c r="O35" s="1105"/>
      <c r="P35" s="1107">
        <v>0</v>
      </c>
      <c r="Q35" s="1108">
        <v>58</v>
      </c>
      <c r="R35" s="1109">
        <f t="shared" si="12"/>
        <v>142</v>
      </c>
      <c r="S35" s="1007">
        <f t="shared" si="9"/>
        <v>76</v>
      </c>
      <c r="T35" s="818">
        <f t="shared" si="2"/>
        <v>0</v>
      </c>
      <c r="U35" s="1159">
        <f t="shared" si="3"/>
        <v>85.7843137254902</v>
      </c>
      <c r="V35" s="1160"/>
      <c r="W35" s="1152">
        <f t="shared" si="4"/>
        <v>84</v>
      </c>
      <c r="X35" s="1161"/>
    </row>
    <row r="36" spans="1:24" ht="24.75" customHeight="1" thickBot="1">
      <c r="A36" s="712" t="s">
        <v>705</v>
      </c>
      <c r="B36" s="1018" t="s">
        <v>706</v>
      </c>
      <c r="C36" s="1098">
        <f t="shared" si="13"/>
        <v>288</v>
      </c>
      <c r="D36" s="1110">
        <v>52</v>
      </c>
      <c r="E36" s="1110">
        <v>236</v>
      </c>
      <c r="F36" s="1111">
        <v>20</v>
      </c>
      <c r="G36" s="1111"/>
      <c r="H36" s="1098">
        <f t="shared" si="14"/>
        <v>268</v>
      </c>
      <c r="I36" s="1098">
        <f t="shared" si="15"/>
        <v>259</v>
      </c>
      <c r="J36" s="1110">
        <v>192</v>
      </c>
      <c r="K36" s="1110">
        <v>10</v>
      </c>
      <c r="L36" s="1110">
        <v>57</v>
      </c>
      <c r="M36" s="1110"/>
      <c r="N36" s="1110"/>
      <c r="O36" s="1110"/>
      <c r="P36" s="1112"/>
      <c r="Q36" s="1113">
        <v>9</v>
      </c>
      <c r="R36" s="1103">
        <f t="shared" si="12"/>
        <v>66</v>
      </c>
      <c r="S36" s="1008">
        <f t="shared" si="9"/>
        <v>77.99227799227799</v>
      </c>
      <c r="T36" s="818">
        <f t="shared" si="2"/>
        <v>0</v>
      </c>
      <c r="U36" s="1159">
        <f t="shared" si="3"/>
        <v>96.64179104477611</v>
      </c>
      <c r="V36" s="1160"/>
      <c r="W36" s="1152">
        <f t="shared" si="4"/>
        <v>57</v>
      </c>
      <c r="X36" s="1161"/>
    </row>
    <row r="37" spans="1:24" ht="24.75" customHeight="1" thickTop="1">
      <c r="A37" s="714" t="s">
        <v>53</v>
      </c>
      <c r="B37" s="715" t="s">
        <v>707</v>
      </c>
      <c r="C37" s="1104">
        <f t="shared" si="13"/>
        <v>2236</v>
      </c>
      <c r="D37" s="1104">
        <f>SUM(D38:D41)</f>
        <v>847</v>
      </c>
      <c r="E37" s="1104">
        <f>SUM(E38:E41)</f>
        <v>1389</v>
      </c>
      <c r="F37" s="1104">
        <f>SUM(F38:F41)</f>
        <v>39</v>
      </c>
      <c r="G37" s="1104">
        <f>SUM(G38:G41)</f>
        <v>14</v>
      </c>
      <c r="H37" s="1104">
        <f t="shared" si="14"/>
        <v>2197</v>
      </c>
      <c r="I37" s="1104">
        <f t="shared" si="15"/>
        <v>1682</v>
      </c>
      <c r="J37" s="1104">
        <f>SUM(J38:J41)</f>
        <v>1132</v>
      </c>
      <c r="K37" s="1104">
        <f aca="true" t="shared" si="16" ref="K37:Q37">SUM(K38:K41)</f>
        <v>94</v>
      </c>
      <c r="L37" s="1104">
        <f t="shared" si="16"/>
        <v>290</v>
      </c>
      <c r="M37" s="1104">
        <f t="shared" si="16"/>
        <v>7</v>
      </c>
      <c r="N37" s="1104">
        <f t="shared" si="16"/>
        <v>0</v>
      </c>
      <c r="O37" s="1104">
        <f t="shared" si="16"/>
        <v>0</v>
      </c>
      <c r="P37" s="1104">
        <f t="shared" si="16"/>
        <v>159</v>
      </c>
      <c r="Q37" s="1104">
        <f t="shared" si="16"/>
        <v>515</v>
      </c>
      <c r="R37" s="1049">
        <f t="shared" si="12"/>
        <v>971</v>
      </c>
      <c r="S37" s="716">
        <f t="shared" si="9"/>
        <v>72.88941736028538</v>
      </c>
      <c r="T37" s="818">
        <f t="shared" si="2"/>
        <v>0</v>
      </c>
      <c r="U37" s="1159">
        <f t="shared" si="3"/>
        <v>76.55894401456531</v>
      </c>
      <c r="V37" s="1160"/>
      <c r="W37" s="1163">
        <f t="shared" si="4"/>
        <v>456</v>
      </c>
      <c r="X37" s="1161"/>
    </row>
    <row r="38" spans="1:24" ht="24.75" customHeight="1">
      <c r="A38" s="717">
        <v>2.1</v>
      </c>
      <c r="B38" s="1083" t="s">
        <v>708</v>
      </c>
      <c r="C38" s="1092">
        <f t="shared" si="13"/>
        <v>698</v>
      </c>
      <c r="D38" s="1093">
        <f>334-5</f>
        <v>329</v>
      </c>
      <c r="E38" s="1093">
        <v>369</v>
      </c>
      <c r="F38" s="1094">
        <v>3</v>
      </c>
      <c r="G38" s="1094">
        <v>5</v>
      </c>
      <c r="H38" s="1092">
        <f t="shared" si="14"/>
        <v>695</v>
      </c>
      <c r="I38" s="1092">
        <f t="shared" si="15"/>
        <v>442</v>
      </c>
      <c r="J38" s="1093">
        <v>286</v>
      </c>
      <c r="K38" s="1093">
        <v>30</v>
      </c>
      <c r="L38" s="1093">
        <v>75</v>
      </c>
      <c r="M38" s="1093">
        <v>1</v>
      </c>
      <c r="N38" s="1093">
        <v>0</v>
      </c>
      <c r="O38" s="1093">
        <v>0</v>
      </c>
      <c r="P38" s="1095">
        <v>50</v>
      </c>
      <c r="Q38" s="1096">
        <v>253</v>
      </c>
      <c r="R38" s="1109">
        <f t="shared" si="12"/>
        <v>379</v>
      </c>
      <c r="S38" s="1007">
        <f t="shared" si="9"/>
        <v>71.49321266968326</v>
      </c>
      <c r="T38" s="818">
        <f t="shared" si="2"/>
        <v>0</v>
      </c>
      <c r="U38" s="1159">
        <f t="shared" si="3"/>
        <v>63.59712230215827</v>
      </c>
      <c r="V38" s="1160"/>
      <c r="W38" s="1152">
        <f t="shared" si="4"/>
        <v>126</v>
      </c>
      <c r="X38" s="1161"/>
    </row>
    <row r="39" spans="1:24" ht="24.75" customHeight="1">
      <c r="A39" s="717">
        <v>2.2</v>
      </c>
      <c r="B39" s="711" t="s">
        <v>709</v>
      </c>
      <c r="C39" s="1092">
        <f t="shared" si="13"/>
        <v>620</v>
      </c>
      <c r="D39" s="1093">
        <v>223</v>
      </c>
      <c r="E39" s="1093">
        <v>397</v>
      </c>
      <c r="F39" s="1094">
        <v>4</v>
      </c>
      <c r="G39" s="1094">
        <v>4</v>
      </c>
      <c r="H39" s="1092">
        <f t="shared" si="14"/>
        <v>616</v>
      </c>
      <c r="I39" s="1092">
        <f t="shared" si="15"/>
        <v>513</v>
      </c>
      <c r="J39" s="1093">
        <v>321</v>
      </c>
      <c r="K39" s="1093">
        <v>47</v>
      </c>
      <c r="L39" s="1093">
        <v>73</v>
      </c>
      <c r="M39" s="1093">
        <v>1</v>
      </c>
      <c r="N39" s="1093">
        <v>0</v>
      </c>
      <c r="O39" s="1093">
        <v>0</v>
      </c>
      <c r="P39" s="1095">
        <v>71</v>
      </c>
      <c r="Q39" s="1096">
        <v>103</v>
      </c>
      <c r="R39" s="1109">
        <f t="shared" si="12"/>
        <v>248</v>
      </c>
      <c r="S39" s="1007">
        <f t="shared" si="9"/>
        <v>71.73489278752436</v>
      </c>
      <c r="T39" s="818">
        <f t="shared" si="2"/>
        <v>0</v>
      </c>
      <c r="U39" s="1159">
        <f t="shared" si="3"/>
        <v>83.27922077922078</v>
      </c>
      <c r="V39" s="1160"/>
      <c r="W39" s="1152">
        <f t="shared" si="4"/>
        <v>145</v>
      </c>
      <c r="X39" s="1161"/>
    </row>
    <row r="40" spans="1:24" ht="24.75" customHeight="1">
      <c r="A40" s="717">
        <v>2.3</v>
      </c>
      <c r="B40" s="711" t="s">
        <v>710</v>
      </c>
      <c r="C40" s="1092">
        <f t="shared" si="13"/>
        <v>390</v>
      </c>
      <c r="D40" s="1093">
        <f>132-3</f>
        <v>129</v>
      </c>
      <c r="E40" s="1093">
        <v>261</v>
      </c>
      <c r="F40" s="1094">
        <v>11</v>
      </c>
      <c r="G40" s="1094">
        <v>3</v>
      </c>
      <c r="H40" s="1092">
        <f t="shared" si="14"/>
        <v>379</v>
      </c>
      <c r="I40" s="1092">
        <f t="shared" si="15"/>
        <v>355</v>
      </c>
      <c r="J40" s="1093">
        <v>273</v>
      </c>
      <c r="K40" s="1093">
        <v>3</v>
      </c>
      <c r="L40" s="1093">
        <v>79</v>
      </c>
      <c r="M40" s="1093">
        <v>0</v>
      </c>
      <c r="N40" s="1093">
        <v>0</v>
      </c>
      <c r="O40" s="1093">
        <v>0</v>
      </c>
      <c r="P40" s="1095">
        <v>0</v>
      </c>
      <c r="Q40" s="1096">
        <v>24</v>
      </c>
      <c r="R40" s="1109">
        <f t="shared" si="12"/>
        <v>103</v>
      </c>
      <c r="S40" s="1007">
        <f t="shared" si="9"/>
        <v>77.74647887323944</v>
      </c>
      <c r="T40" s="818">
        <f t="shared" si="2"/>
        <v>0</v>
      </c>
      <c r="U40" s="1159">
        <f t="shared" si="3"/>
        <v>93.66754617414247</v>
      </c>
      <c r="V40" s="1160"/>
      <c r="W40" s="1152">
        <f t="shared" si="4"/>
        <v>79</v>
      </c>
      <c r="X40" s="1161"/>
    </row>
    <row r="41" spans="1:24" ht="24.75" customHeight="1" thickBot="1">
      <c r="A41" s="718">
        <v>2.4</v>
      </c>
      <c r="B41" s="1084" t="s">
        <v>711</v>
      </c>
      <c r="C41" s="1098">
        <f t="shared" si="13"/>
        <v>528</v>
      </c>
      <c r="D41" s="1099">
        <v>166</v>
      </c>
      <c r="E41" s="1099">
        <v>362</v>
      </c>
      <c r="F41" s="1100">
        <v>21</v>
      </c>
      <c r="G41" s="1100">
        <v>2</v>
      </c>
      <c r="H41" s="1098">
        <f t="shared" si="14"/>
        <v>507</v>
      </c>
      <c r="I41" s="1098">
        <f t="shared" si="15"/>
        <v>372</v>
      </c>
      <c r="J41" s="1099">
        <v>252</v>
      </c>
      <c r="K41" s="1099">
        <v>14</v>
      </c>
      <c r="L41" s="1099">
        <v>63</v>
      </c>
      <c r="M41" s="1099">
        <v>5</v>
      </c>
      <c r="N41" s="1099">
        <v>0</v>
      </c>
      <c r="O41" s="1099">
        <v>0</v>
      </c>
      <c r="P41" s="1101">
        <v>38</v>
      </c>
      <c r="Q41" s="1102">
        <v>135</v>
      </c>
      <c r="R41" s="1103">
        <f t="shared" si="12"/>
        <v>241</v>
      </c>
      <c r="S41" s="1008">
        <f t="shared" si="9"/>
        <v>71.50537634408603</v>
      </c>
      <c r="T41" s="818">
        <f t="shared" si="2"/>
        <v>0</v>
      </c>
      <c r="U41" s="1159">
        <f t="shared" si="3"/>
        <v>73.37278106508876</v>
      </c>
      <c r="V41" s="1160"/>
      <c r="W41" s="1152">
        <f t="shared" si="4"/>
        <v>106</v>
      </c>
      <c r="X41" s="1161"/>
    </row>
    <row r="42" spans="1:24" ht="24.75" customHeight="1" thickTop="1">
      <c r="A42" s="714" t="s">
        <v>58</v>
      </c>
      <c r="B42" s="715" t="s">
        <v>712</v>
      </c>
      <c r="C42" s="1104">
        <f t="shared" si="13"/>
        <v>2635</v>
      </c>
      <c r="D42" s="1104">
        <f>SUM(D43:D47)</f>
        <v>736</v>
      </c>
      <c r="E42" s="1104">
        <f>SUM(E43:E47)</f>
        <v>1899</v>
      </c>
      <c r="F42" s="1104">
        <f>SUM(F43:F47)</f>
        <v>18</v>
      </c>
      <c r="G42" s="1104">
        <f>SUM(G43:G47)</f>
        <v>0</v>
      </c>
      <c r="H42" s="1104">
        <f t="shared" si="14"/>
        <v>2617</v>
      </c>
      <c r="I42" s="1104">
        <f t="shared" si="15"/>
        <v>2212</v>
      </c>
      <c r="J42" s="1104">
        <f>SUM(J43:J47)</f>
        <v>1662</v>
      </c>
      <c r="K42" s="1104">
        <f aca="true" t="shared" si="17" ref="K42:Q42">SUM(K43:K47)</f>
        <v>59</v>
      </c>
      <c r="L42" s="1104">
        <f t="shared" si="17"/>
        <v>436</v>
      </c>
      <c r="M42" s="1104">
        <f t="shared" si="17"/>
        <v>27</v>
      </c>
      <c r="N42" s="1104">
        <f t="shared" si="17"/>
        <v>1</v>
      </c>
      <c r="O42" s="1104">
        <f t="shared" si="17"/>
        <v>10</v>
      </c>
      <c r="P42" s="1104">
        <f t="shared" si="17"/>
        <v>17</v>
      </c>
      <c r="Q42" s="1104">
        <f t="shared" si="17"/>
        <v>405</v>
      </c>
      <c r="R42" s="1049">
        <f t="shared" si="12"/>
        <v>896</v>
      </c>
      <c r="S42" s="716">
        <f t="shared" si="9"/>
        <v>77.80289330922243</v>
      </c>
      <c r="T42" s="818">
        <f t="shared" si="2"/>
        <v>0</v>
      </c>
      <c r="U42" s="1159">
        <f t="shared" si="3"/>
        <v>84.52426442491402</v>
      </c>
      <c r="V42" s="1160"/>
      <c r="W42" s="1163">
        <f t="shared" si="4"/>
        <v>491</v>
      </c>
      <c r="X42" s="1161"/>
    </row>
    <row r="43" spans="1:24" ht="24.75" customHeight="1">
      <c r="A43" s="717">
        <v>3.1</v>
      </c>
      <c r="B43" s="1085" t="s">
        <v>713</v>
      </c>
      <c r="C43" s="1092">
        <f t="shared" si="13"/>
        <v>345</v>
      </c>
      <c r="D43" s="1114">
        <v>96</v>
      </c>
      <c r="E43" s="1114">
        <v>249</v>
      </c>
      <c r="F43" s="1115">
        <v>9</v>
      </c>
      <c r="G43" s="1115">
        <v>0</v>
      </c>
      <c r="H43" s="1092">
        <f t="shared" si="14"/>
        <v>336</v>
      </c>
      <c r="I43" s="1092">
        <f t="shared" si="15"/>
        <v>318</v>
      </c>
      <c r="J43" s="1114">
        <v>253</v>
      </c>
      <c r="K43" s="1114">
        <v>14</v>
      </c>
      <c r="L43" s="1114">
        <v>24</v>
      </c>
      <c r="M43" s="1114">
        <v>24</v>
      </c>
      <c r="N43" s="1114">
        <v>0</v>
      </c>
      <c r="O43" s="1114">
        <v>0</v>
      </c>
      <c r="P43" s="1114">
        <v>3</v>
      </c>
      <c r="Q43" s="1116">
        <v>18</v>
      </c>
      <c r="R43" s="1109">
        <f t="shared" si="12"/>
        <v>69</v>
      </c>
      <c r="S43" s="1007">
        <f t="shared" si="9"/>
        <v>83.9622641509434</v>
      </c>
      <c r="T43" s="818">
        <f t="shared" si="2"/>
        <v>0</v>
      </c>
      <c r="U43" s="1159">
        <f t="shared" si="3"/>
        <v>94.64285714285714</v>
      </c>
      <c r="V43" s="1160"/>
      <c r="W43" s="1152">
        <f t="shared" si="4"/>
        <v>51</v>
      </c>
      <c r="X43" s="1161"/>
    </row>
    <row r="44" spans="1:24" ht="24.75" customHeight="1">
      <c r="A44" s="717">
        <v>3.2</v>
      </c>
      <c r="B44" s="1086" t="s">
        <v>714</v>
      </c>
      <c r="C44" s="1092">
        <f t="shared" si="13"/>
        <v>549</v>
      </c>
      <c r="D44" s="1114">
        <v>160</v>
      </c>
      <c r="E44" s="1114">
        <v>389</v>
      </c>
      <c r="F44" s="1115">
        <v>1</v>
      </c>
      <c r="G44" s="1115">
        <v>0</v>
      </c>
      <c r="H44" s="1092">
        <f t="shared" si="14"/>
        <v>548</v>
      </c>
      <c r="I44" s="1092">
        <f t="shared" si="15"/>
        <v>473</v>
      </c>
      <c r="J44" s="1114">
        <v>350</v>
      </c>
      <c r="K44" s="1114">
        <v>13</v>
      </c>
      <c r="L44" s="1114">
        <f>120-11</f>
        <v>109</v>
      </c>
      <c r="M44" s="1114">
        <v>0</v>
      </c>
      <c r="N44" s="1114">
        <v>1</v>
      </c>
      <c r="O44" s="1114">
        <v>0</v>
      </c>
      <c r="P44" s="1114">
        <v>0</v>
      </c>
      <c r="Q44" s="1116">
        <f>64+11</f>
        <v>75</v>
      </c>
      <c r="R44" s="1109">
        <f t="shared" si="12"/>
        <v>185</v>
      </c>
      <c r="S44" s="1007">
        <f t="shared" si="9"/>
        <v>76.74418604651163</v>
      </c>
      <c r="T44" s="818">
        <f t="shared" si="2"/>
        <v>0</v>
      </c>
      <c r="U44" s="1159">
        <f t="shared" si="3"/>
        <v>86.3138686131387</v>
      </c>
      <c r="V44" s="1160"/>
      <c r="W44" s="1152">
        <f t="shared" si="4"/>
        <v>110</v>
      </c>
      <c r="X44" s="1161"/>
    </row>
    <row r="45" spans="1:24" ht="24.75" customHeight="1">
      <c r="A45" s="717">
        <v>3.3</v>
      </c>
      <c r="B45" s="1086" t="s">
        <v>721</v>
      </c>
      <c r="C45" s="1092">
        <f t="shared" si="13"/>
        <v>571</v>
      </c>
      <c r="D45" s="1114">
        <v>232</v>
      </c>
      <c r="E45" s="1114">
        <v>339</v>
      </c>
      <c r="F45" s="1115">
        <v>6</v>
      </c>
      <c r="G45" s="1115">
        <v>0</v>
      </c>
      <c r="H45" s="1092">
        <f t="shared" si="14"/>
        <v>565</v>
      </c>
      <c r="I45" s="1092">
        <f t="shared" si="15"/>
        <v>450</v>
      </c>
      <c r="J45" s="1114">
        <v>316</v>
      </c>
      <c r="K45" s="1114">
        <v>11</v>
      </c>
      <c r="L45" s="1114">
        <v>123</v>
      </c>
      <c r="M45" s="1114">
        <v>0</v>
      </c>
      <c r="N45" s="1114">
        <v>0</v>
      </c>
      <c r="O45" s="1114">
        <v>0</v>
      </c>
      <c r="P45" s="1114">
        <v>0</v>
      </c>
      <c r="Q45" s="1116">
        <v>115</v>
      </c>
      <c r="R45" s="1109">
        <f t="shared" si="12"/>
        <v>238</v>
      </c>
      <c r="S45" s="1007">
        <f t="shared" si="9"/>
        <v>72.66666666666667</v>
      </c>
      <c r="T45" s="818">
        <f t="shared" si="2"/>
        <v>0</v>
      </c>
      <c r="U45" s="1159">
        <f t="shared" si="3"/>
        <v>79.64601769911505</v>
      </c>
      <c r="V45" s="1160"/>
      <c r="W45" s="1152">
        <f t="shared" si="4"/>
        <v>123</v>
      </c>
      <c r="X45" s="1161"/>
    </row>
    <row r="46" spans="1:24" ht="24.75" customHeight="1">
      <c r="A46" s="717">
        <v>3.4</v>
      </c>
      <c r="B46" s="1087" t="s">
        <v>716</v>
      </c>
      <c r="C46" s="1092">
        <f t="shared" si="13"/>
        <v>521</v>
      </c>
      <c r="D46" s="1114">
        <v>147</v>
      </c>
      <c r="E46" s="1114">
        <v>374</v>
      </c>
      <c r="F46" s="1115">
        <v>1</v>
      </c>
      <c r="G46" s="1115">
        <v>0</v>
      </c>
      <c r="H46" s="1092">
        <f t="shared" si="14"/>
        <v>520</v>
      </c>
      <c r="I46" s="1092">
        <f t="shared" si="15"/>
        <v>434</v>
      </c>
      <c r="J46" s="1114">
        <v>335</v>
      </c>
      <c r="K46" s="1114">
        <v>6</v>
      </c>
      <c r="L46" s="1114">
        <v>90</v>
      </c>
      <c r="M46" s="1114">
        <v>3</v>
      </c>
      <c r="N46" s="1114">
        <v>0</v>
      </c>
      <c r="O46" s="1114">
        <v>0</v>
      </c>
      <c r="P46" s="1114">
        <v>0</v>
      </c>
      <c r="Q46" s="1116">
        <v>86</v>
      </c>
      <c r="R46" s="1109">
        <f t="shared" si="12"/>
        <v>179</v>
      </c>
      <c r="S46" s="1007">
        <f t="shared" si="9"/>
        <v>78.57142857142857</v>
      </c>
      <c r="T46" s="818">
        <f t="shared" si="2"/>
        <v>0</v>
      </c>
      <c r="U46" s="1159">
        <f t="shared" si="3"/>
        <v>83.46153846153847</v>
      </c>
      <c r="V46" s="1160"/>
      <c r="W46" s="1152">
        <f t="shared" si="4"/>
        <v>93</v>
      </c>
      <c r="X46" s="1161"/>
    </row>
    <row r="47" spans="1:24" ht="24.75" customHeight="1" thickBot="1">
      <c r="A47" s="718">
        <v>3.5</v>
      </c>
      <c r="B47" s="1088" t="s">
        <v>717</v>
      </c>
      <c r="C47" s="1098">
        <f t="shared" si="13"/>
        <v>649</v>
      </c>
      <c r="D47" s="1110">
        <v>101</v>
      </c>
      <c r="E47" s="1110">
        <v>548</v>
      </c>
      <c r="F47" s="1100">
        <v>1</v>
      </c>
      <c r="G47" s="1100">
        <v>0</v>
      </c>
      <c r="H47" s="1098">
        <f t="shared" si="14"/>
        <v>648</v>
      </c>
      <c r="I47" s="1098">
        <f t="shared" si="15"/>
        <v>537</v>
      </c>
      <c r="J47" s="1110">
        <v>408</v>
      </c>
      <c r="K47" s="1110">
        <v>15</v>
      </c>
      <c r="L47" s="1110">
        <v>90</v>
      </c>
      <c r="M47" s="1110">
        <v>0</v>
      </c>
      <c r="N47" s="1110">
        <v>0</v>
      </c>
      <c r="O47" s="1110">
        <v>10</v>
      </c>
      <c r="P47" s="1110">
        <v>14</v>
      </c>
      <c r="Q47" s="1117">
        <v>111</v>
      </c>
      <c r="R47" s="1103">
        <f t="shared" si="12"/>
        <v>225</v>
      </c>
      <c r="S47" s="1008">
        <f t="shared" si="9"/>
        <v>78.77094972067039</v>
      </c>
      <c r="T47" s="818">
        <f t="shared" si="2"/>
        <v>0</v>
      </c>
      <c r="U47" s="1159">
        <f t="shared" si="3"/>
        <v>82.87037037037037</v>
      </c>
      <c r="V47" s="1160"/>
      <c r="W47" s="1152">
        <f t="shared" si="4"/>
        <v>114</v>
      </c>
      <c r="X47" s="1161"/>
    </row>
    <row r="48" spans="1:24" ht="24.75" customHeight="1" thickTop="1">
      <c r="A48" s="714" t="s">
        <v>73</v>
      </c>
      <c r="B48" s="715" t="s">
        <v>718</v>
      </c>
      <c r="C48" s="1104">
        <f t="shared" si="13"/>
        <v>1098</v>
      </c>
      <c r="D48" s="1104">
        <f>SUM(D49:D52)</f>
        <v>222</v>
      </c>
      <c r="E48" s="1104">
        <f>SUM(E49:E52)</f>
        <v>876</v>
      </c>
      <c r="F48" s="1104">
        <f>SUM(F49:F52)</f>
        <v>12</v>
      </c>
      <c r="G48" s="1104">
        <f>SUM(G49:G52)</f>
        <v>2</v>
      </c>
      <c r="H48" s="1104">
        <f t="shared" si="14"/>
        <v>1086</v>
      </c>
      <c r="I48" s="1104">
        <f t="shared" si="15"/>
        <v>975</v>
      </c>
      <c r="J48" s="1104">
        <f aca="true" t="shared" si="18" ref="J48:Q48">SUM(J49:J52)</f>
        <v>727</v>
      </c>
      <c r="K48" s="1104">
        <f t="shared" si="18"/>
        <v>22</v>
      </c>
      <c r="L48" s="1104">
        <f t="shared" si="18"/>
        <v>220</v>
      </c>
      <c r="M48" s="1104">
        <f t="shared" si="18"/>
        <v>6</v>
      </c>
      <c r="N48" s="1104">
        <f t="shared" si="18"/>
        <v>0</v>
      </c>
      <c r="O48" s="1104">
        <f t="shared" si="18"/>
        <v>0</v>
      </c>
      <c r="P48" s="1104">
        <f t="shared" si="18"/>
        <v>0</v>
      </c>
      <c r="Q48" s="1104">
        <f t="shared" si="18"/>
        <v>111</v>
      </c>
      <c r="R48" s="1049">
        <f t="shared" si="12"/>
        <v>337</v>
      </c>
      <c r="S48" s="716">
        <f t="shared" si="9"/>
        <v>76.82051282051282</v>
      </c>
      <c r="T48" s="818">
        <f t="shared" si="2"/>
        <v>0</v>
      </c>
      <c r="U48" s="1159">
        <f t="shared" si="3"/>
        <v>89.77900552486187</v>
      </c>
      <c r="V48" s="1160"/>
      <c r="W48" s="1163">
        <f t="shared" si="4"/>
        <v>226</v>
      </c>
      <c r="X48" s="1161"/>
    </row>
    <row r="49" spans="1:24" ht="24.75" customHeight="1">
      <c r="A49" s="717">
        <v>4.1</v>
      </c>
      <c r="B49" s="711" t="s">
        <v>719</v>
      </c>
      <c r="C49" s="1092">
        <f t="shared" si="13"/>
        <v>269</v>
      </c>
      <c r="D49" s="1093">
        <v>52</v>
      </c>
      <c r="E49" s="1093">
        <v>217</v>
      </c>
      <c r="F49" s="1094"/>
      <c r="G49" s="1094"/>
      <c r="H49" s="1092">
        <f t="shared" si="14"/>
        <v>269</v>
      </c>
      <c r="I49" s="1092">
        <f t="shared" si="15"/>
        <v>242</v>
      </c>
      <c r="J49" s="1093">
        <v>181</v>
      </c>
      <c r="K49" s="1093">
        <v>3</v>
      </c>
      <c r="L49" s="1093">
        <v>56</v>
      </c>
      <c r="M49" s="1093">
        <v>2</v>
      </c>
      <c r="N49" s="1093"/>
      <c r="O49" s="1093"/>
      <c r="P49" s="1095"/>
      <c r="Q49" s="1096">
        <v>27</v>
      </c>
      <c r="R49" s="1109">
        <f t="shared" si="12"/>
        <v>85</v>
      </c>
      <c r="S49" s="1007">
        <f t="shared" si="9"/>
        <v>76.03305785123968</v>
      </c>
      <c r="T49" s="818">
        <f t="shared" si="2"/>
        <v>0</v>
      </c>
      <c r="U49" s="1159">
        <f t="shared" si="3"/>
        <v>89.96282527881041</v>
      </c>
      <c r="V49" s="1160"/>
      <c r="W49" s="1152">
        <f t="shared" si="4"/>
        <v>58</v>
      </c>
      <c r="X49" s="1161"/>
    </row>
    <row r="50" spans="1:24" ht="24.75" customHeight="1">
      <c r="A50" s="717">
        <v>4.2</v>
      </c>
      <c r="B50" s="711" t="s">
        <v>720</v>
      </c>
      <c r="C50" s="1092">
        <f t="shared" si="13"/>
        <v>288</v>
      </c>
      <c r="D50" s="1093">
        <v>76</v>
      </c>
      <c r="E50" s="1093">
        <v>212</v>
      </c>
      <c r="F50" s="1094">
        <v>3</v>
      </c>
      <c r="G50" s="1094"/>
      <c r="H50" s="1092">
        <f t="shared" si="14"/>
        <v>285</v>
      </c>
      <c r="I50" s="1092">
        <f t="shared" si="15"/>
        <v>249</v>
      </c>
      <c r="J50" s="1093">
        <v>190</v>
      </c>
      <c r="K50" s="1093">
        <v>4</v>
      </c>
      <c r="L50" s="1093">
        <v>55</v>
      </c>
      <c r="M50" s="1093"/>
      <c r="N50" s="1093"/>
      <c r="O50" s="1093"/>
      <c r="P50" s="1095"/>
      <c r="Q50" s="1096">
        <v>36</v>
      </c>
      <c r="R50" s="1109">
        <f t="shared" si="12"/>
        <v>91</v>
      </c>
      <c r="S50" s="1007">
        <f t="shared" si="9"/>
        <v>77.91164658634538</v>
      </c>
      <c r="T50" s="818">
        <f t="shared" si="2"/>
        <v>0</v>
      </c>
      <c r="U50" s="1159">
        <f t="shared" si="3"/>
        <v>87.36842105263159</v>
      </c>
      <c r="V50" s="1160"/>
      <c r="W50" s="1152">
        <f t="shared" si="4"/>
        <v>55</v>
      </c>
      <c r="X50" s="1161"/>
    </row>
    <row r="51" spans="1:24" ht="24.75" customHeight="1">
      <c r="A51" s="717">
        <v>4.3</v>
      </c>
      <c r="B51" s="711" t="s">
        <v>715</v>
      </c>
      <c r="C51" s="1092">
        <f t="shared" si="13"/>
        <v>228</v>
      </c>
      <c r="D51" s="1093">
        <v>30</v>
      </c>
      <c r="E51" s="1093">
        <v>198</v>
      </c>
      <c r="F51" s="1094">
        <v>7</v>
      </c>
      <c r="G51" s="1094"/>
      <c r="H51" s="1092">
        <f t="shared" si="14"/>
        <v>221</v>
      </c>
      <c r="I51" s="1092">
        <f t="shared" si="15"/>
        <v>204</v>
      </c>
      <c r="J51" s="1093">
        <v>147</v>
      </c>
      <c r="K51" s="1093">
        <v>13</v>
      </c>
      <c r="L51" s="1093">
        <v>44</v>
      </c>
      <c r="M51" s="1093"/>
      <c r="N51" s="1093"/>
      <c r="O51" s="1093"/>
      <c r="P51" s="1095"/>
      <c r="Q51" s="1096">
        <v>17</v>
      </c>
      <c r="R51" s="1109">
        <f t="shared" si="12"/>
        <v>61</v>
      </c>
      <c r="S51" s="1007">
        <f t="shared" si="9"/>
        <v>78.43137254901961</v>
      </c>
      <c r="T51" s="818">
        <f t="shared" si="2"/>
        <v>0</v>
      </c>
      <c r="U51" s="1159">
        <f t="shared" si="3"/>
        <v>92.3076923076923</v>
      </c>
      <c r="V51" s="1160"/>
      <c r="W51" s="1152">
        <f t="shared" si="4"/>
        <v>44</v>
      </c>
      <c r="X51" s="1161"/>
    </row>
    <row r="52" spans="1:24" ht="24.75" customHeight="1" thickBot="1">
      <c r="A52" s="718">
        <v>4.4</v>
      </c>
      <c r="B52" s="713" t="s">
        <v>722</v>
      </c>
      <c r="C52" s="1098">
        <f t="shared" si="13"/>
        <v>313</v>
      </c>
      <c r="D52" s="1099">
        <v>64</v>
      </c>
      <c r="E52" s="1099">
        <v>249</v>
      </c>
      <c r="F52" s="1100">
        <v>2</v>
      </c>
      <c r="G52" s="1100">
        <v>2</v>
      </c>
      <c r="H52" s="1098">
        <f t="shared" si="14"/>
        <v>311</v>
      </c>
      <c r="I52" s="1098">
        <f t="shared" si="15"/>
        <v>280</v>
      </c>
      <c r="J52" s="1099">
        <v>209</v>
      </c>
      <c r="K52" s="1099">
        <v>2</v>
      </c>
      <c r="L52" s="1099">
        <v>65</v>
      </c>
      <c r="M52" s="1099">
        <v>4</v>
      </c>
      <c r="N52" s="1099"/>
      <c r="O52" s="1099"/>
      <c r="P52" s="1101"/>
      <c r="Q52" s="1102">
        <v>31</v>
      </c>
      <c r="R52" s="1103">
        <f t="shared" si="12"/>
        <v>100</v>
      </c>
      <c r="S52" s="1008">
        <f t="shared" si="9"/>
        <v>75.35714285714286</v>
      </c>
      <c r="T52" s="818">
        <f t="shared" si="2"/>
        <v>0</v>
      </c>
      <c r="U52" s="1159">
        <f t="shared" si="3"/>
        <v>90.03215434083602</v>
      </c>
      <c r="V52" s="1160"/>
      <c r="W52" s="1152">
        <f t="shared" si="4"/>
        <v>69</v>
      </c>
      <c r="X52" s="1161"/>
    </row>
    <row r="53" spans="1:24" ht="24.75" customHeight="1" thickTop="1">
      <c r="A53" s="714" t="s">
        <v>74</v>
      </c>
      <c r="B53" s="715" t="s">
        <v>723</v>
      </c>
      <c r="C53" s="1104">
        <f t="shared" si="13"/>
        <v>1809</v>
      </c>
      <c r="D53" s="1104">
        <f>SUM(D54:D56)</f>
        <v>543</v>
      </c>
      <c r="E53" s="1104">
        <f>SUM(E54:E56)</f>
        <v>1266</v>
      </c>
      <c r="F53" s="1104">
        <f>SUM(F54:F56)</f>
        <v>8</v>
      </c>
      <c r="G53" s="1104">
        <f>SUM(G54:G56)</f>
        <v>8</v>
      </c>
      <c r="H53" s="1104">
        <f t="shared" si="14"/>
        <v>1801</v>
      </c>
      <c r="I53" s="1104">
        <f t="shared" si="15"/>
        <v>1652</v>
      </c>
      <c r="J53" s="1104">
        <f>SUM(J54:J56)</f>
        <v>1124</v>
      </c>
      <c r="K53" s="1104">
        <f aca="true" t="shared" si="19" ref="K53:Q53">SUM(K54:K56)</f>
        <v>94</v>
      </c>
      <c r="L53" s="1104">
        <f t="shared" si="19"/>
        <v>419</v>
      </c>
      <c r="M53" s="1104">
        <f t="shared" si="19"/>
        <v>9</v>
      </c>
      <c r="N53" s="1104">
        <f t="shared" si="19"/>
        <v>0</v>
      </c>
      <c r="O53" s="1104">
        <f t="shared" si="19"/>
        <v>0</v>
      </c>
      <c r="P53" s="1104">
        <f t="shared" si="19"/>
        <v>6</v>
      </c>
      <c r="Q53" s="1104">
        <f t="shared" si="19"/>
        <v>149</v>
      </c>
      <c r="R53" s="1049">
        <f t="shared" si="12"/>
        <v>583</v>
      </c>
      <c r="S53" s="716">
        <f t="shared" si="9"/>
        <v>73.72881355932203</v>
      </c>
      <c r="T53" s="818">
        <f t="shared" si="2"/>
        <v>0</v>
      </c>
      <c r="U53" s="1159">
        <f t="shared" si="3"/>
        <v>91.72681843420321</v>
      </c>
      <c r="V53" s="1160"/>
      <c r="W53" s="1163">
        <f t="shared" si="4"/>
        <v>434</v>
      </c>
      <c r="X53" s="1161"/>
    </row>
    <row r="54" spans="1:24" ht="24.75" customHeight="1">
      <c r="A54" s="717">
        <v>5.1</v>
      </c>
      <c r="B54" s="711" t="s">
        <v>724</v>
      </c>
      <c r="C54" s="1092">
        <f t="shared" si="13"/>
        <v>637</v>
      </c>
      <c r="D54" s="1093">
        <v>226</v>
      </c>
      <c r="E54" s="1093">
        <v>411</v>
      </c>
      <c r="F54" s="1094">
        <v>3</v>
      </c>
      <c r="G54" s="1094">
        <v>0</v>
      </c>
      <c r="H54" s="1092">
        <f t="shared" si="14"/>
        <v>634</v>
      </c>
      <c r="I54" s="1092">
        <f t="shared" si="15"/>
        <v>575</v>
      </c>
      <c r="J54" s="1093">
        <v>390</v>
      </c>
      <c r="K54" s="1093">
        <v>28</v>
      </c>
      <c r="L54" s="1093">
        <v>157</v>
      </c>
      <c r="M54" s="1093">
        <v>0</v>
      </c>
      <c r="N54" s="1093">
        <v>0</v>
      </c>
      <c r="O54" s="1093">
        <v>0</v>
      </c>
      <c r="P54" s="1095">
        <v>0</v>
      </c>
      <c r="Q54" s="1040">
        <v>59</v>
      </c>
      <c r="R54" s="1109">
        <f t="shared" si="12"/>
        <v>216</v>
      </c>
      <c r="S54" s="1007">
        <f t="shared" si="9"/>
        <v>72.69565217391303</v>
      </c>
      <c r="T54" s="818">
        <f t="shared" si="2"/>
        <v>0</v>
      </c>
      <c r="U54" s="1159">
        <f t="shared" si="3"/>
        <v>90.69400630914826</v>
      </c>
      <c r="V54" s="1160"/>
      <c r="W54" s="1152">
        <f t="shared" si="4"/>
        <v>157</v>
      </c>
      <c r="X54" s="1161"/>
    </row>
    <row r="55" spans="1:24" ht="24.75" customHeight="1">
      <c r="A55" s="717">
        <v>5.2</v>
      </c>
      <c r="B55" s="711" t="s">
        <v>725</v>
      </c>
      <c r="C55" s="1092">
        <f t="shared" si="13"/>
        <v>555</v>
      </c>
      <c r="D55" s="1093">
        <v>131</v>
      </c>
      <c r="E55" s="1093">
        <v>424</v>
      </c>
      <c r="F55" s="1094">
        <v>2</v>
      </c>
      <c r="G55" s="1094">
        <v>1</v>
      </c>
      <c r="H55" s="1092">
        <f t="shared" si="14"/>
        <v>553</v>
      </c>
      <c r="I55" s="1092">
        <f t="shared" si="15"/>
        <v>508</v>
      </c>
      <c r="J55" s="1093">
        <v>374</v>
      </c>
      <c r="K55" s="1093">
        <v>30</v>
      </c>
      <c r="L55" s="1093">
        <v>103</v>
      </c>
      <c r="M55" s="1093">
        <v>1</v>
      </c>
      <c r="N55" s="1093">
        <v>0</v>
      </c>
      <c r="O55" s="1093">
        <v>0</v>
      </c>
      <c r="P55" s="1095">
        <v>0</v>
      </c>
      <c r="Q55" s="1040">
        <v>45</v>
      </c>
      <c r="R55" s="1109">
        <f t="shared" si="12"/>
        <v>149</v>
      </c>
      <c r="S55" s="1007">
        <f t="shared" si="9"/>
        <v>79.52755905511812</v>
      </c>
      <c r="T55" s="818">
        <f t="shared" si="2"/>
        <v>0</v>
      </c>
      <c r="U55" s="1159">
        <f t="shared" si="3"/>
        <v>91.86256781193491</v>
      </c>
      <c r="V55" s="1160"/>
      <c r="W55" s="1152">
        <f t="shared" si="4"/>
        <v>104</v>
      </c>
      <c r="X55" s="1161"/>
    </row>
    <row r="56" spans="1:24" ht="24.75" customHeight="1" thickBot="1">
      <c r="A56" s="718">
        <v>5.3</v>
      </c>
      <c r="B56" s="1084" t="s">
        <v>726</v>
      </c>
      <c r="C56" s="1098">
        <f t="shared" si="13"/>
        <v>617</v>
      </c>
      <c r="D56" s="1099">
        <f>193-7</f>
        <v>186</v>
      </c>
      <c r="E56" s="1099">
        <v>431</v>
      </c>
      <c r="F56" s="1100">
        <v>3</v>
      </c>
      <c r="G56" s="1100">
        <v>7</v>
      </c>
      <c r="H56" s="1098">
        <f t="shared" si="14"/>
        <v>614</v>
      </c>
      <c r="I56" s="1098">
        <f t="shared" si="15"/>
        <v>569</v>
      </c>
      <c r="J56" s="1099">
        <v>360</v>
      </c>
      <c r="K56" s="1099">
        <v>36</v>
      </c>
      <c r="L56" s="1099">
        <v>159</v>
      </c>
      <c r="M56" s="1099">
        <v>8</v>
      </c>
      <c r="N56" s="1099">
        <v>0</v>
      </c>
      <c r="O56" s="1099">
        <v>0</v>
      </c>
      <c r="P56" s="1101">
        <v>6</v>
      </c>
      <c r="Q56" s="1118">
        <v>45</v>
      </c>
      <c r="R56" s="1103">
        <f t="shared" si="12"/>
        <v>218</v>
      </c>
      <c r="S56" s="1008">
        <f t="shared" si="9"/>
        <v>69.59578207381371</v>
      </c>
      <c r="T56" s="818">
        <f t="shared" si="2"/>
        <v>0</v>
      </c>
      <c r="U56" s="1159">
        <f t="shared" si="3"/>
        <v>92.67100977198697</v>
      </c>
      <c r="V56" s="1160"/>
      <c r="W56" s="1152">
        <f t="shared" si="4"/>
        <v>173</v>
      </c>
      <c r="X56" s="1161"/>
    </row>
    <row r="57" spans="1:24" ht="24.75" customHeight="1" thickTop="1">
      <c r="A57" s="714" t="s">
        <v>75</v>
      </c>
      <c r="B57" s="715" t="s">
        <v>727</v>
      </c>
      <c r="C57" s="1104">
        <f t="shared" si="13"/>
        <v>1121</v>
      </c>
      <c r="D57" s="1104">
        <f>SUM(D58:D59)</f>
        <v>227</v>
      </c>
      <c r="E57" s="1104">
        <f>SUM(E58:E59)</f>
        <v>894</v>
      </c>
      <c r="F57" s="1104">
        <f>SUM(F58:F59)</f>
        <v>17</v>
      </c>
      <c r="G57" s="1104">
        <f>SUM(G58:G59)</f>
        <v>0</v>
      </c>
      <c r="H57" s="1104">
        <f t="shared" si="14"/>
        <v>1104</v>
      </c>
      <c r="I57" s="1104">
        <f t="shared" si="15"/>
        <v>977</v>
      </c>
      <c r="J57" s="1104">
        <f>SUM(J58:J59)</f>
        <v>731</v>
      </c>
      <c r="K57" s="1104">
        <f aca="true" t="shared" si="20" ref="K57:Q57">SUM(K58:K59)</f>
        <v>16</v>
      </c>
      <c r="L57" s="1104">
        <f t="shared" si="20"/>
        <v>223</v>
      </c>
      <c r="M57" s="1104">
        <f t="shared" si="20"/>
        <v>6</v>
      </c>
      <c r="N57" s="1104">
        <f t="shared" si="20"/>
        <v>0</v>
      </c>
      <c r="O57" s="1104">
        <f t="shared" si="20"/>
        <v>0</v>
      </c>
      <c r="P57" s="1104">
        <f t="shared" si="20"/>
        <v>1</v>
      </c>
      <c r="Q57" s="1104">
        <f t="shared" si="20"/>
        <v>127</v>
      </c>
      <c r="R57" s="1049">
        <f t="shared" si="12"/>
        <v>357</v>
      </c>
      <c r="S57" s="716">
        <f t="shared" si="9"/>
        <v>76.45854657113614</v>
      </c>
      <c r="T57" s="818">
        <f t="shared" si="2"/>
        <v>0</v>
      </c>
      <c r="U57" s="1159">
        <f t="shared" si="3"/>
        <v>88.4963768115942</v>
      </c>
      <c r="V57" s="1160"/>
      <c r="W57" s="1163">
        <f t="shared" si="4"/>
        <v>230</v>
      </c>
      <c r="X57" s="1161"/>
    </row>
    <row r="58" spans="1:24" ht="24.75" customHeight="1">
      <c r="A58" s="717">
        <v>6.1</v>
      </c>
      <c r="B58" s="895" t="s">
        <v>728</v>
      </c>
      <c r="C58" s="1092">
        <f t="shared" si="13"/>
        <v>307</v>
      </c>
      <c r="D58" s="1093">
        <v>48</v>
      </c>
      <c r="E58" s="1093">
        <v>259</v>
      </c>
      <c r="F58" s="1094">
        <v>9</v>
      </c>
      <c r="G58" s="1094">
        <v>0</v>
      </c>
      <c r="H58" s="1092">
        <f t="shared" si="14"/>
        <v>298</v>
      </c>
      <c r="I58" s="1092">
        <f t="shared" si="15"/>
        <v>276</v>
      </c>
      <c r="J58" s="1093">
        <v>219</v>
      </c>
      <c r="K58" s="1093">
        <v>5</v>
      </c>
      <c r="L58" s="1093">
        <v>45</v>
      </c>
      <c r="M58" s="1093">
        <v>6</v>
      </c>
      <c r="N58" s="1093">
        <v>0</v>
      </c>
      <c r="O58" s="1093">
        <v>0</v>
      </c>
      <c r="P58" s="1095">
        <v>1</v>
      </c>
      <c r="Q58" s="1040">
        <v>22</v>
      </c>
      <c r="R58" s="1109">
        <f t="shared" si="12"/>
        <v>74</v>
      </c>
      <c r="S58" s="1007">
        <f t="shared" si="9"/>
        <v>81.15942028985508</v>
      </c>
      <c r="T58" s="818">
        <f t="shared" si="2"/>
        <v>0</v>
      </c>
      <c r="U58" s="1159">
        <f t="shared" si="3"/>
        <v>92.61744966442953</v>
      </c>
      <c r="V58" s="1160"/>
      <c r="W58" s="1152">
        <f t="shared" si="4"/>
        <v>52</v>
      </c>
      <c r="X58" s="1161"/>
    </row>
    <row r="59" spans="1:24" ht="24.75" customHeight="1" thickBot="1">
      <c r="A59" s="718">
        <v>6.3</v>
      </c>
      <c r="B59" s="713" t="s">
        <v>729</v>
      </c>
      <c r="C59" s="1098">
        <f t="shared" si="13"/>
        <v>814</v>
      </c>
      <c r="D59" s="1099">
        <v>179</v>
      </c>
      <c r="E59" s="1099">
        <v>635</v>
      </c>
      <c r="F59" s="1100">
        <v>8</v>
      </c>
      <c r="G59" s="1100">
        <v>0</v>
      </c>
      <c r="H59" s="1098">
        <f t="shared" si="14"/>
        <v>806</v>
      </c>
      <c r="I59" s="1098">
        <f t="shared" si="15"/>
        <v>701</v>
      </c>
      <c r="J59" s="1099">
        <v>512</v>
      </c>
      <c r="K59" s="1099">
        <v>11</v>
      </c>
      <c r="L59" s="1099">
        <v>178</v>
      </c>
      <c r="M59" s="1099">
        <v>0</v>
      </c>
      <c r="N59" s="1099">
        <v>0</v>
      </c>
      <c r="O59" s="1099">
        <v>0</v>
      </c>
      <c r="P59" s="1101">
        <v>0</v>
      </c>
      <c r="Q59" s="1118">
        <v>105</v>
      </c>
      <c r="R59" s="1103">
        <f t="shared" si="12"/>
        <v>283</v>
      </c>
      <c r="S59" s="1008">
        <f t="shared" si="9"/>
        <v>74.6077032810271</v>
      </c>
      <c r="T59" s="818">
        <f t="shared" si="2"/>
        <v>0</v>
      </c>
      <c r="U59" s="1159">
        <f t="shared" si="3"/>
        <v>86.9727047146402</v>
      </c>
      <c r="V59" s="1160"/>
      <c r="W59" s="1152">
        <f t="shared" si="4"/>
        <v>178</v>
      </c>
      <c r="X59" s="1161"/>
    </row>
    <row r="60" spans="1:24" ht="24.75" customHeight="1" thickTop="1">
      <c r="A60" s="714" t="s">
        <v>76</v>
      </c>
      <c r="B60" s="715" t="s">
        <v>730</v>
      </c>
      <c r="C60" s="1104">
        <f t="shared" si="13"/>
        <v>2166</v>
      </c>
      <c r="D60" s="1104">
        <f>SUM(D61:D65)</f>
        <v>797</v>
      </c>
      <c r="E60" s="1104">
        <f>SUM(E61:E65)</f>
        <v>1369</v>
      </c>
      <c r="F60" s="1104">
        <f>SUM(F61:F65)</f>
        <v>17</v>
      </c>
      <c r="G60" s="1104">
        <f>SUM(G61:G65)</f>
        <v>8</v>
      </c>
      <c r="H60" s="1104">
        <f t="shared" si="14"/>
        <v>2149</v>
      </c>
      <c r="I60" s="1104">
        <f t="shared" si="15"/>
        <v>1702</v>
      </c>
      <c r="J60" s="1104">
        <f>SUM(J61:J65)</f>
        <v>1179</v>
      </c>
      <c r="K60" s="1104">
        <f aca="true" t="shared" si="21" ref="K60:Q60">SUM(K61:K65)</f>
        <v>31</v>
      </c>
      <c r="L60" s="1104">
        <f t="shared" si="21"/>
        <v>489</v>
      </c>
      <c r="M60" s="1104">
        <f t="shared" si="21"/>
        <v>3</v>
      </c>
      <c r="N60" s="1104">
        <f t="shared" si="21"/>
        <v>0</v>
      </c>
      <c r="O60" s="1104">
        <f t="shared" si="21"/>
        <v>0</v>
      </c>
      <c r="P60" s="1104">
        <f t="shared" si="21"/>
        <v>0</v>
      </c>
      <c r="Q60" s="1104">
        <f t="shared" si="21"/>
        <v>447</v>
      </c>
      <c r="R60" s="1049">
        <f t="shared" si="12"/>
        <v>939</v>
      </c>
      <c r="S60" s="716">
        <f t="shared" si="9"/>
        <v>71.09283196239718</v>
      </c>
      <c r="T60" s="818">
        <f t="shared" si="2"/>
        <v>0</v>
      </c>
      <c r="U60" s="1159">
        <f t="shared" si="3"/>
        <v>79.19962773382969</v>
      </c>
      <c r="V60" s="1160"/>
      <c r="W60" s="1163">
        <f>L60+M60+N60+O60+P60</f>
        <v>492</v>
      </c>
      <c r="X60" s="1161"/>
    </row>
    <row r="61" spans="1:24" ht="24.75" customHeight="1">
      <c r="A61" s="717">
        <v>7.1</v>
      </c>
      <c r="B61" s="711" t="s">
        <v>731</v>
      </c>
      <c r="C61" s="1092">
        <f t="shared" si="13"/>
        <v>286</v>
      </c>
      <c r="D61" s="1093">
        <v>133</v>
      </c>
      <c r="E61" s="1093">
        <v>153</v>
      </c>
      <c r="F61" s="1094">
        <v>1</v>
      </c>
      <c r="G61" s="1094">
        <v>0</v>
      </c>
      <c r="H61" s="1092">
        <f t="shared" si="14"/>
        <v>285</v>
      </c>
      <c r="I61" s="1092">
        <f t="shared" si="15"/>
        <v>201</v>
      </c>
      <c r="J61" s="1093">
        <v>139</v>
      </c>
      <c r="K61" s="1093">
        <v>6</v>
      </c>
      <c r="L61" s="1093">
        <v>53</v>
      </c>
      <c r="M61" s="1093">
        <v>3</v>
      </c>
      <c r="N61" s="1093">
        <v>0</v>
      </c>
      <c r="O61" s="1093">
        <v>0</v>
      </c>
      <c r="P61" s="1095">
        <v>0</v>
      </c>
      <c r="Q61" s="1040">
        <v>84</v>
      </c>
      <c r="R61" s="1109">
        <f t="shared" si="12"/>
        <v>140</v>
      </c>
      <c r="S61" s="1007">
        <f t="shared" si="9"/>
        <v>72.13930348258707</v>
      </c>
      <c r="T61" s="818">
        <f t="shared" si="2"/>
        <v>0</v>
      </c>
      <c r="U61" s="1159">
        <f t="shared" si="3"/>
        <v>70.52631578947368</v>
      </c>
      <c r="V61" s="1160"/>
      <c r="W61" s="1152">
        <f t="shared" si="4"/>
        <v>56</v>
      </c>
      <c r="X61" s="1161"/>
    </row>
    <row r="62" spans="1:24" ht="24.75" customHeight="1">
      <c r="A62" s="717">
        <v>7.2</v>
      </c>
      <c r="B62" s="895" t="s">
        <v>732</v>
      </c>
      <c r="C62" s="1092">
        <f t="shared" si="13"/>
        <v>0</v>
      </c>
      <c r="D62" s="1093">
        <v>0</v>
      </c>
      <c r="E62" s="1093">
        <v>0</v>
      </c>
      <c r="F62" s="1094">
        <v>0</v>
      </c>
      <c r="G62" s="1094">
        <v>0</v>
      </c>
      <c r="H62" s="1092">
        <f t="shared" si="14"/>
        <v>0</v>
      </c>
      <c r="I62" s="1092">
        <f t="shared" si="15"/>
        <v>0</v>
      </c>
      <c r="J62" s="1093">
        <v>0</v>
      </c>
      <c r="K62" s="1093">
        <v>0</v>
      </c>
      <c r="L62" s="1093">
        <v>0</v>
      </c>
      <c r="M62" s="1093">
        <v>0</v>
      </c>
      <c r="N62" s="1093">
        <v>0</v>
      </c>
      <c r="O62" s="1093">
        <v>0</v>
      </c>
      <c r="P62" s="1095">
        <v>0</v>
      </c>
      <c r="Q62" s="1040">
        <v>0</v>
      </c>
      <c r="R62" s="1109">
        <v>0</v>
      </c>
      <c r="S62" s="1007" t="e">
        <f t="shared" si="9"/>
        <v>#DIV/0!</v>
      </c>
      <c r="T62" s="818">
        <f t="shared" si="2"/>
        <v>0</v>
      </c>
      <c r="U62" s="1159" t="e">
        <f t="shared" si="3"/>
        <v>#DIV/0!</v>
      </c>
      <c r="V62" s="1160"/>
      <c r="W62" s="1152">
        <f t="shared" si="4"/>
        <v>0</v>
      </c>
      <c r="X62" s="1161"/>
    </row>
    <row r="63" spans="1:24" ht="24.75" customHeight="1">
      <c r="A63" s="717">
        <v>7.3</v>
      </c>
      <c r="B63" s="895" t="s">
        <v>733</v>
      </c>
      <c r="C63" s="1092">
        <f t="shared" si="13"/>
        <v>585</v>
      </c>
      <c r="D63" s="1093">
        <v>270</v>
      </c>
      <c r="E63" s="1093">
        <v>315</v>
      </c>
      <c r="F63" s="1094">
        <v>6</v>
      </c>
      <c r="G63" s="1094">
        <v>6</v>
      </c>
      <c r="H63" s="1092">
        <f t="shared" si="14"/>
        <v>579</v>
      </c>
      <c r="I63" s="1092">
        <f t="shared" si="15"/>
        <v>431</v>
      </c>
      <c r="J63" s="1093">
        <v>284</v>
      </c>
      <c r="K63" s="1093">
        <v>11</v>
      </c>
      <c r="L63" s="1093">
        <v>136</v>
      </c>
      <c r="M63" s="1093">
        <v>0</v>
      </c>
      <c r="N63" s="1093">
        <v>0</v>
      </c>
      <c r="O63" s="1093">
        <v>0</v>
      </c>
      <c r="P63" s="1095">
        <v>0</v>
      </c>
      <c r="Q63" s="1040">
        <v>148</v>
      </c>
      <c r="R63" s="1109">
        <f t="shared" si="12"/>
        <v>284</v>
      </c>
      <c r="S63" s="1007">
        <f t="shared" si="9"/>
        <v>68.44547563805105</v>
      </c>
      <c r="T63" s="818">
        <f t="shared" si="2"/>
        <v>0</v>
      </c>
      <c r="U63" s="1159">
        <f t="shared" si="3"/>
        <v>74.43868739205527</v>
      </c>
      <c r="V63" s="1160"/>
      <c r="W63" s="1152">
        <f t="shared" si="4"/>
        <v>136</v>
      </c>
      <c r="X63" s="1161"/>
    </row>
    <row r="64" spans="1:24" ht="24.75" customHeight="1">
      <c r="A64" s="717">
        <v>7.4</v>
      </c>
      <c r="B64" s="711" t="s">
        <v>734</v>
      </c>
      <c r="C64" s="1092">
        <f t="shared" si="13"/>
        <v>860</v>
      </c>
      <c r="D64" s="1093">
        <v>266</v>
      </c>
      <c r="E64" s="1093">
        <v>594</v>
      </c>
      <c r="F64" s="1094">
        <v>7</v>
      </c>
      <c r="G64" s="1094">
        <v>2</v>
      </c>
      <c r="H64" s="1092">
        <f t="shared" si="14"/>
        <v>853</v>
      </c>
      <c r="I64" s="1092">
        <f t="shared" si="15"/>
        <v>703</v>
      </c>
      <c r="J64" s="1093">
        <v>516</v>
      </c>
      <c r="K64" s="1093">
        <v>5</v>
      </c>
      <c r="L64" s="1093">
        <v>182</v>
      </c>
      <c r="M64" s="1093">
        <v>0</v>
      </c>
      <c r="N64" s="1093">
        <v>0</v>
      </c>
      <c r="O64" s="1093">
        <v>0</v>
      </c>
      <c r="P64" s="1095">
        <v>0</v>
      </c>
      <c r="Q64" s="1040">
        <v>150</v>
      </c>
      <c r="R64" s="1109">
        <f t="shared" si="12"/>
        <v>332</v>
      </c>
      <c r="S64" s="1007">
        <f t="shared" si="9"/>
        <v>74.11095305832148</v>
      </c>
      <c r="T64" s="818">
        <f t="shared" si="2"/>
        <v>0</v>
      </c>
      <c r="U64" s="1159">
        <f t="shared" si="3"/>
        <v>82.41500586166471</v>
      </c>
      <c r="V64" s="1160"/>
      <c r="W64" s="1152">
        <f t="shared" si="4"/>
        <v>182</v>
      </c>
      <c r="X64" s="1161"/>
    </row>
    <row r="65" spans="1:24" ht="24.75" customHeight="1" thickBot="1">
      <c r="A65" s="718">
        <v>7.5</v>
      </c>
      <c r="B65" s="713" t="s">
        <v>735</v>
      </c>
      <c r="C65" s="1098">
        <f t="shared" si="13"/>
        <v>435</v>
      </c>
      <c r="D65" s="1099">
        <v>128</v>
      </c>
      <c r="E65" s="1099">
        <v>307</v>
      </c>
      <c r="F65" s="1100">
        <v>3</v>
      </c>
      <c r="G65" s="1100">
        <v>0</v>
      </c>
      <c r="H65" s="1098">
        <f t="shared" si="14"/>
        <v>432</v>
      </c>
      <c r="I65" s="1098">
        <f t="shared" si="15"/>
        <v>367</v>
      </c>
      <c r="J65" s="1099">
        <v>240</v>
      </c>
      <c r="K65" s="1099">
        <v>9</v>
      </c>
      <c r="L65" s="1099">
        <v>118</v>
      </c>
      <c r="M65" s="1099">
        <v>0</v>
      </c>
      <c r="N65" s="1099">
        <v>0</v>
      </c>
      <c r="O65" s="1099">
        <v>0</v>
      </c>
      <c r="P65" s="1101">
        <v>0</v>
      </c>
      <c r="Q65" s="1118">
        <v>65</v>
      </c>
      <c r="R65" s="1103">
        <f t="shared" si="12"/>
        <v>183</v>
      </c>
      <c r="S65" s="1008">
        <f t="shared" si="9"/>
        <v>67.8474114441417</v>
      </c>
      <c r="T65" s="818">
        <f t="shared" si="2"/>
        <v>0</v>
      </c>
      <c r="U65" s="1159">
        <f t="shared" si="3"/>
        <v>84.95370370370371</v>
      </c>
      <c r="V65" s="1160"/>
      <c r="W65" s="1152">
        <f t="shared" si="4"/>
        <v>118</v>
      </c>
      <c r="X65" s="1161"/>
    </row>
    <row r="66" spans="1:24" ht="24.75" customHeight="1" thickTop="1">
      <c r="A66" s="714" t="s">
        <v>77</v>
      </c>
      <c r="B66" s="715" t="s">
        <v>736</v>
      </c>
      <c r="C66" s="1104">
        <f t="shared" si="13"/>
        <v>1265</v>
      </c>
      <c r="D66" s="1104">
        <f>SUM(D67:D70)</f>
        <v>250</v>
      </c>
      <c r="E66" s="1104">
        <f>SUM(E67:E70)</f>
        <v>1015</v>
      </c>
      <c r="F66" s="1104">
        <f>SUM(F67:F70)</f>
        <v>45</v>
      </c>
      <c r="G66" s="1104">
        <f>SUM(G67:G70)</f>
        <v>0</v>
      </c>
      <c r="H66" s="1104">
        <f t="shared" si="14"/>
        <v>1220</v>
      </c>
      <c r="I66" s="1104">
        <f t="shared" si="15"/>
        <v>1119</v>
      </c>
      <c r="J66" s="1104">
        <f>SUM(J67:J70)</f>
        <v>837</v>
      </c>
      <c r="K66" s="1104">
        <f aca="true" t="shared" si="22" ref="K66:Q66">SUM(K67:K70)</f>
        <v>21</v>
      </c>
      <c r="L66" s="1104">
        <f t="shared" si="22"/>
        <v>257</v>
      </c>
      <c r="M66" s="1104">
        <f t="shared" si="22"/>
        <v>4</v>
      </c>
      <c r="N66" s="1104">
        <f t="shared" si="22"/>
        <v>0</v>
      </c>
      <c r="O66" s="1104">
        <f t="shared" si="22"/>
        <v>0</v>
      </c>
      <c r="P66" s="1104">
        <f t="shared" si="22"/>
        <v>0</v>
      </c>
      <c r="Q66" s="1104">
        <f t="shared" si="22"/>
        <v>101</v>
      </c>
      <c r="R66" s="1049">
        <f t="shared" si="12"/>
        <v>362</v>
      </c>
      <c r="S66" s="716">
        <f t="shared" si="9"/>
        <v>76.67560321715817</v>
      </c>
      <c r="T66" s="818">
        <f t="shared" si="2"/>
        <v>0</v>
      </c>
      <c r="U66" s="1159">
        <f t="shared" si="3"/>
        <v>91.72131147540983</v>
      </c>
      <c r="V66" s="1160"/>
      <c r="W66" s="1163">
        <f t="shared" si="4"/>
        <v>261</v>
      </c>
      <c r="X66" s="1161"/>
    </row>
    <row r="67" spans="1:24" ht="24.75" customHeight="1">
      <c r="A67" s="717">
        <v>8.1</v>
      </c>
      <c r="B67" s="896" t="s">
        <v>737</v>
      </c>
      <c r="C67" s="1092">
        <f t="shared" si="13"/>
        <v>19</v>
      </c>
      <c r="D67" s="1093">
        <v>0</v>
      </c>
      <c r="E67" s="1093">
        <v>19</v>
      </c>
      <c r="F67" s="1094">
        <v>8</v>
      </c>
      <c r="G67" s="1094">
        <v>0</v>
      </c>
      <c r="H67" s="1092">
        <f t="shared" si="14"/>
        <v>11</v>
      </c>
      <c r="I67" s="1092">
        <f t="shared" si="15"/>
        <v>8</v>
      </c>
      <c r="J67" s="1093">
        <v>7</v>
      </c>
      <c r="K67" s="1093">
        <v>1</v>
      </c>
      <c r="L67" s="1093">
        <v>0</v>
      </c>
      <c r="M67" s="1093">
        <v>0</v>
      </c>
      <c r="N67" s="1093">
        <v>0</v>
      </c>
      <c r="O67" s="1093">
        <v>0</v>
      </c>
      <c r="P67" s="1095">
        <v>0</v>
      </c>
      <c r="Q67" s="1040">
        <v>3</v>
      </c>
      <c r="R67" s="1109">
        <f t="shared" si="12"/>
        <v>3</v>
      </c>
      <c r="S67" s="1007">
        <f t="shared" si="9"/>
        <v>100</v>
      </c>
      <c r="T67" s="818">
        <f t="shared" si="2"/>
        <v>0</v>
      </c>
      <c r="U67" s="1159">
        <f t="shared" si="3"/>
        <v>72.72727272727273</v>
      </c>
      <c r="V67" s="1160"/>
      <c r="W67" s="1152">
        <f t="shared" si="4"/>
        <v>0</v>
      </c>
      <c r="X67" s="1161" t="e">
        <f aca="true" t="shared" si="23" ref="X67:X77">(W67-V67)/V67*100</f>
        <v>#DIV/0!</v>
      </c>
    </row>
    <row r="68" spans="1:24" ht="24.75" customHeight="1">
      <c r="A68" s="717">
        <v>8.2</v>
      </c>
      <c r="B68" s="896" t="s">
        <v>738</v>
      </c>
      <c r="C68" s="1092">
        <f t="shared" si="13"/>
        <v>414</v>
      </c>
      <c r="D68" s="1093">
        <v>116</v>
      </c>
      <c r="E68" s="1093">
        <v>298</v>
      </c>
      <c r="F68" s="1094">
        <v>0</v>
      </c>
      <c r="G68" s="1094">
        <v>0</v>
      </c>
      <c r="H68" s="1092">
        <f t="shared" si="14"/>
        <v>414</v>
      </c>
      <c r="I68" s="1092">
        <f t="shared" si="15"/>
        <v>371</v>
      </c>
      <c r="J68" s="1093">
        <v>271</v>
      </c>
      <c r="K68" s="1093">
        <v>10</v>
      </c>
      <c r="L68" s="1093">
        <v>89</v>
      </c>
      <c r="M68" s="1093">
        <v>1</v>
      </c>
      <c r="N68" s="1093">
        <v>0</v>
      </c>
      <c r="O68" s="1093">
        <v>0</v>
      </c>
      <c r="P68" s="1095">
        <v>0</v>
      </c>
      <c r="Q68" s="1040">
        <v>43</v>
      </c>
      <c r="R68" s="1109">
        <f t="shared" si="12"/>
        <v>133</v>
      </c>
      <c r="S68" s="1007">
        <f t="shared" si="9"/>
        <v>75.74123989218329</v>
      </c>
      <c r="T68" s="818">
        <f t="shared" si="2"/>
        <v>0</v>
      </c>
      <c r="U68" s="1159">
        <f t="shared" si="3"/>
        <v>89.61352657004831</v>
      </c>
      <c r="V68" s="1160"/>
      <c r="W68" s="1152">
        <f t="shared" si="4"/>
        <v>90</v>
      </c>
      <c r="X68" s="1161" t="e">
        <f t="shared" si="23"/>
        <v>#DIV/0!</v>
      </c>
    </row>
    <row r="69" spans="1:24" ht="24.75" customHeight="1">
      <c r="A69" s="717">
        <v>8.3</v>
      </c>
      <c r="B69" s="897" t="s">
        <v>739</v>
      </c>
      <c r="C69" s="1092">
        <f t="shared" si="13"/>
        <v>392</v>
      </c>
      <c r="D69" s="1093">
        <v>79</v>
      </c>
      <c r="E69" s="1093">
        <v>313</v>
      </c>
      <c r="F69" s="1094">
        <v>30</v>
      </c>
      <c r="G69" s="1094">
        <v>0</v>
      </c>
      <c r="H69" s="1092">
        <f t="shared" si="14"/>
        <v>362</v>
      </c>
      <c r="I69" s="1092">
        <f t="shared" si="15"/>
        <v>338</v>
      </c>
      <c r="J69" s="1093">
        <v>266</v>
      </c>
      <c r="K69" s="1093">
        <v>4</v>
      </c>
      <c r="L69" s="1093">
        <v>66</v>
      </c>
      <c r="M69" s="1093">
        <v>2</v>
      </c>
      <c r="N69" s="1093">
        <v>0</v>
      </c>
      <c r="O69" s="1093">
        <v>0</v>
      </c>
      <c r="P69" s="1095">
        <v>0</v>
      </c>
      <c r="Q69" s="1040">
        <v>24</v>
      </c>
      <c r="R69" s="1109">
        <f t="shared" si="12"/>
        <v>92</v>
      </c>
      <c r="S69" s="1007">
        <f t="shared" si="9"/>
        <v>79.88165680473372</v>
      </c>
      <c r="T69" s="818">
        <f t="shared" si="2"/>
        <v>0</v>
      </c>
      <c r="U69" s="1159">
        <f t="shared" si="3"/>
        <v>93.37016574585635</v>
      </c>
      <c r="V69" s="1160"/>
      <c r="W69" s="1152">
        <f t="shared" si="4"/>
        <v>68</v>
      </c>
      <c r="X69" s="1161" t="e">
        <f t="shared" si="23"/>
        <v>#DIV/0!</v>
      </c>
    </row>
    <row r="70" spans="1:24" ht="24.75" customHeight="1" thickBot="1">
      <c r="A70" s="718">
        <v>8.4</v>
      </c>
      <c r="B70" s="894" t="s">
        <v>740</v>
      </c>
      <c r="C70" s="1098">
        <f t="shared" si="13"/>
        <v>440</v>
      </c>
      <c r="D70" s="1099">
        <v>55</v>
      </c>
      <c r="E70" s="1099">
        <v>385</v>
      </c>
      <c r="F70" s="1100">
        <v>7</v>
      </c>
      <c r="G70" s="1100">
        <v>0</v>
      </c>
      <c r="H70" s="1098">
        <f t="shared" si="14"/>
        <v>433</v>
      </c>
      <c r="I70" s="1098">
        <f t="shared" si="15"/>
        <v>402</v>
      </c>
      <c r="J70" s="1099">
        <v>293</v>
      </c>
      <c r="K70" s="1099">
        <v>6</v>
      </c>
      <c r="L70" s="1099">
        <v>102</v>
      </c>
      <c r="M70" s="1099">
        <v>1</v>
      </c>
      <c r="N70" s="1099">
        <v>0</v>
      </c>
      <c r="O70" s="1099">
        <v>0</v>
      </c>
      <c r="P70" s="1101">
        <v>0</v>
      </c>
      <c r="Q70" s="1118">
        <v>31</v>
      </c>
      <c r="R70" s="1103">
        <f t="shared" si="12"/>
        <v>134</v>
      </c>
      <c r="S70" s="1008">
        <f t="shared" si="9"/>
        <v>74.37810945273633</v>
      </c>
      <c r="T70" s="818">
        <f t="shared" si="2"/>
        <v>0</v>
      </c>
      <c r="U70" s="1159">
        <f t="shared" si="3"/>
        <v>92.8406466512702</v>
      </c>
      <c r="V70" s="1160"/>
      <c r="W70" s="1152">
        <f t="shared" si="4"/>
        <v>103</v>
      </c>
      <c r="X70" s="1161" t="e">
        <f t="shared" si="23"/>
        <v>#DIV/0!</v>
      </c>
    </row>
    <row r="71" spans="1:24" ht="24.75" customHeight="1" thickTop="1">
      <c r="A71" s="714" t="s">
        <v>78</v>
      </c>
      <c r="B71" s="715" t="s">
        <v>741</v>
      </c>
      <c r="C71" s="1104">
        <f t="shared" si="13"/>
        <v>1365</v>
      </c>
      <c r="D71" s="1104">
        <f>SUM(D72:D74)</f>
        <v>466</v>
      </c>
      <c r="E71" s="1104">
        <f>SUM(E72:E74)</f>
        <v>899</v>
      </c>
      <c r="F71" s="1104">
        <f>SUM(F72:F74)</f>
        <v>34</v>
      </c>
      <c r="G71" s="1104">
        <f>SUM(G72:G74)</f>
        <v>0</v>
      </c>
      <c r="H71" s="1104">
        <f t="shared" si="14"/>
        <v>1331</v>
      </c>
      <c r="I71" s="1104">
        <f t="shared" si="15"/>
        <v>1164</v>
      </c>
      <c r="J71" s="1104">
        <f>SUM(J72:J74)</f>
        <v>809</v>
      </c>
      <c r="K71" s="1104">
        <f aca="true" t="shared" si="24" ref="K71:Q71">SUM(K72:K74)</f>
        <v>35</v>
      </c>
      <c r="L71" s="1104">
        <f t="shared" si="24"/>
        <v>315</v>
      </c>
      <c r="M71" s="1104">
        <f t="shared" si="24"/>
        <v>5</v>
      </c>
      <c r="N71" s="1104">
        <f t="shared" si="24"/>
        <v>0</v>
      </c>
      <c r="O71" s="1104">
        <f t="shared" si="24"/>
        <v>0</v>
      </c>
      <c r="P71" s="1104">
        <f t="shared" si="24"/>
        <v>0</v>
      </c>
      <c r="Q71" s="1104">
        <f t="shared" si="24"/>
        <v>167</v>
      </c>
      <c r="R71" s="1049">
        <f t="shared" si="12"/>
        <v>487</v>
      </c>
      <c r="S71" s="716">
        <f t="shared" si="9"/>
        <v>72.5085910652921</v>
      </c>
      <c r="T71" s="818">
        <f t="shared" si="2"/>
        <v>0</v>
      </c>
      <c r="U71" s="1159">
        <f t="shared" si="3"/>
        <v>87.45304282494365</v>
      </c>
      <c r="V71" s="1160"/>
      <c r="W71" s="1163">
        <f t="shared" si="4"/>
        <v>320</v>
      </c>
      <c r="X71" s="1161" t="e">
        <f t="shared" si="23"/>
        <v>#DIV/0!</v>
      </c>
    </row>
    <row r="72" spans="1:24" ht="24.75" customHeight="1">
      <c r="A72" s="717">
        <v>9.1</v>
      </c>
      <c r="B72" s="711" t="s">
        <v>742</v>
      </c>
      <c r="C72" s="1092">
        <f t="shared" si="13"/>
        <v>257</v>
      </c>
      <c r="D72" s="1093">
        <v>101</v>
      </c>
      <c r="E72" s="1093">
        <v>156</v>
      </c>
      <c r="F72" s="1094">
        <v>6</v>
      </c>
      <c r="G72" s="1094">
        <v>0</v>
      </c>
      <c r="H72" s="1092">
        <f t="shared" si="14"/>
        <v>251</v>
      </c>
      <c r="I72" s="1092">
        <f t="shared" si="15"/>
        <v>224</v>
      </c>
      <c r="J72" s="1093">
        <v>181</v>
      </c>
      <c r="K72" s="1093">
        <v>6</v>
      </c>
      <c r="L72" s="1093">
        <v>36</v>
      </c>
      <c r="M72" s="1093">
        <v>1</v>
      </c>
      <c r="N72" s="1093">
        <v>0</v>
      </c>
      <c r="O72" s="1093">
        <v>0</v>
      </c>
      <c r="P72" s="1095">
        <v>0</v>
      </c>
      <c r="Q72" s="1040">
        <v>27</v>
      </c>
      <c r="R72" s="1097">
        <f t="shared" si="12"/>
        <v>64</v>
      </c>
      <c r="S72" s="1007">
        <f t="shared" si="9"/>
        <v>83.48214285714286</v>
      </c>
      <c r="T72" s="818">
        <f t="shared" si="2"/>
        <v>0</v>
      </c>
      <c r="U72" s="1159">
        <f t="shared" si="3"/>
        <v>89.2430278884462</v>
      </c>
      <c r="V72" s="1160"/>
      <c r="W72" s="1152">
        <f t="shared" si="4"/>
        <v>37</v>
      </c>
      <c r="X72" s="1161" t="e">
        <f t="shared" si="23"/>
        <v>#DIV/0!</v>
      </c>
    </row>
    <row r="73" spans="1:24" ht="24.75" customHeight="1">
      <c r="A73" s="719">
        <v>9.2</v>
      </c>
      <c r="B73" s="711" t="s">
        <v>743</v>
      </c>
      <c r="C73" s="1092">
        <f t="shared" si="13"/>
        <v>821</v>
      </c>
      <c r="D73" s="1119">
        <v>276</v>
      </c>
      <c r="E73" s="1119">
        <v>545</v>
      </c>
      <c r="F73" s="1120">
        <v>9</v>
      </c>
      <c r="G73" s="1120">
        <v>0</v>
      </c>
      <c r="H73" s="1092">
        <f t="shared" si="14"/>
        <v>812</v>
      </c>
      <c r="I73" s="1092">
        <f t="shared" si="15"/>
        <v>707</v>
      </c>
      <c r="J73" s="1119">
        <v>448</v>
      </c>
      <c r="K73" s="1119">
        <v>21</v>
      </c>
      <c r="L73" s="1119">
        <v>237</v>
      </c>
      <c r="M73" s="1119">
        <v>1</v>
      </c>
      <c r="N73" s="1119">
        <v>0</v>
      </c>
      <c r="O73" s="1119">
        <v>0</v>
      </c>
      <c r="P73" s="1121">
        <v>0</v>
      </c>
      <c r="Q73" s="1042">
        <v>105</v>
      </c>
      <c r="R73" s="1109">
        <f t="shared" si="12"/>
        <v>343</v>
      </c>
      <c r="S73" s="1007">
        <f t="shared" si="9"/>
        <v>66.33663366336634</v>
      </c>
      <c r="T73" s="818">
        <f t="shared" si="2"/>
        <v>0</v>
      </c>
      <c r="U73" s="1159">
        <f t="shared" si="3"/>
        <v>87.06896551724138</v>
      </c>
      <c r="V73" s="1160"/>
      <c r="W73" s="1152">
        <f t="shared" si="4"/>
        <v>238</v>
      </c>
      <c r="X73" s="1161" t="e">
        <f t="shared" si="23"/>
        <v>#DIV/0!</v>
      </c>
    </row>
    <row r="74" spans="1:24" ht="24.75" customHeight="1" thickBot="1">
      <c r="A74" s="718">
        <v>9.3</v>
      </c>
      <c r="B74" s="1089" t="s">
        <v>744</v>
      </c>
      <c r="C74" s="1098">
        <f t="shared" si="13"/>
        <v>287</v>
      </c>
      <c r="D74" s="1099">
        <v>89</v>
      </c>
      <c r="E74" s="1099">
        <v>198</v>
      </c>
      <c r="F74" s="1100">
        <v>19</v>
      </c>
      <c r="G74" s="1100">
        <v>0</v>
      </c>
      <c r="H74" s="1098">
        <f t="shared" si="14"/>
        <v>268</v>
      </c>
      <c r="I74" s="1098">
        <f t="shared" si="15"/>
        <v>233</v>
      </c>
      <c r="J74" s="1099">
        <v>180</v>
      </c>
      <c r="K74" s="1099">
        <v>8</v>
      </c>
      <c r="L74" s="1099">
        <v>42</v>
      </c>
      <c r="M74" s="1099">
        <v>3</v>
      </c>
      <c r="N74" s="1099">
        <v>0</v>
      </c>
      <c r="O74" s="1099">
        <v>0</v>
      </c>
      <c r="P74" s="1101">
        <v>0</v>
      </c>
      <c r="Q74" s="1118">
        <v>35</v>
      </c>
      <c r="R74" s="1103">
        <f t="shared" si="12"/>
        <v>80</v>
      </c>
      <c r="S74" s="1008">
        <f t="shared" si="9"/>
        <v>80.68669527896995</v>
      </c>
      <c r="T74" s="818">
        <f t="shared" si="2"/>
        <v>0</v>
      </c>
      <c r="U74" s="1159">
        <f t="shared" si="3"/>
        <v>86.94029850746269</v>
      </c>
      <c r="V74" s="1160"/>
      <c r="W74" s="1152">
        <f t="shared" si="4"/>
        <v>45</v>
      </c>
      <c r="X74" s="1161" t="e">
        <f t="shared" si="23"/>
        <v>#DIV/0!</v>
      </c>
    </row>
    <row r="75" spans="1:24" ht="24.75" customHeight="1" thickTop="1">
      <c r="A75" s="714" t="s">
        <v>101</v>
      </c>
      <c r="B75" s="715" t="s">
        <v>745</v>
      </c>
      <c r="C75" s="1104">
        <f t="shared" si="13"/>
        <v>168</v>
      </c>
      <c r="D75" s="1104">
        <f aca="true" t="shared" si="25" ref="D75:Q75">D76+D77</f>
        <v>68</v>
      </c>
      <c r="E75" s="1104">
        <f t="shared" si="25"/>
        <v>100</v>
      </c>
      <c r="F75" s="1104">
        <f t="shared" si="25"/>
        <v>1</v>
      </c>
      <c r="G75" s="1104">
        <f t="shared" si="25"/>
        <v>0</v>
      </c>
      <c r="H75" s="1104">
        <f t="shared" si="14"/>
        <v>167</v>
      </c>
      <c r="I75" s="1104">
        <f t="shared" si="15"/>
        <v>145</v>
      </c>
      <c r="J75" s="1104">
        <f t="shared" si="25"/>
        <v>104</v>
      </c>
      <c r="K75" s="1104">
        <f t="shared" si="25"/>
        <v>5</v>
      </c>
      <c r="L75" s="1104">
        <f t="shared" si="25"/>
        <v>35</v>
      </c>
      <c r="M75" s="1104">
        <f t="shared" si="25"/>
        <v>1</v>
      </c>
      <c r="N75" s="1104">
        <f t="shared" si="25"/>
        <v>0</v>
      </c>
      <c r="O75" s="1104">
        <f t="shared" si="25"/>
        <v>0</v>
      </c>
      <c r="P75" s="1104">
        <f t="shared" si="25"/>
        <v>0</v>
      </c>
      <c r="Q75" s="1104">
        <f t="shared" si="25"/>
        <v>22</v>
      </c>
      <c r="R75" s="1049">
        <f>L75+M75+N75+O75+P75+Q75</f>
        <v>58</v>
      </c>
      <c r="S75" s="716">
        <f t="shared" si="9"/>
        <v>75.17241379310344</v>
      </c>
      <c r="T75" s="818">
        <f>Q75+I75+F75-C75</f>
        <v>0</v>
      </c>
      <c r="U75" s="1159">
        <f t="shared" si="3"/>
        <v>86.82634730538922</v>
      </c>
      <c r="V75" s="1160"/>
      <c r="W75" s="1164">
        <f>L75+M75+N75+O75+P75</f>
        <v>36</v>
      </c>
      <c r="X75" s="1161" t="e">
        <f t="shared" si="23"/>
        <v>#DIV/0!</v>
      </c>
    </row>
    <row r="76" spans="1:24" ht="24.75" customHeight="1">
      <c r="A76" s="1122">
        <v>10.1</v>
      </c>
      <c r="B76" s="711" t="s">
        <v>746</v>
      </c>
      <c r="C76" s="1092">
        <f t="shared" si="13"/>
        <v>76</v>
      </c>
      <c r="D76" s="1093">
        <v>26</v>
      </c>
      <c r="E76" s="1093">
        <v>50</v>
      </c>
      <c r="F76" s="1094">
        <v>1</v>
      </c>
      <c r="G76" s="1094">
        <v>0</v>
      </c>
      <c r="H76" s="1092">
        <f t="shared" si="14"/>
        <v>75</v>
      </c>
      <c r="I76" s="1092">
        <f t="shared" si="15"/>
        <v>69</v>
      </c>
      <c r="J76" s="1093">
        <v>53</v>
      </c>
      <c r="K76" s="1093">
        <v>0</v>
      </c>
      <c r="L76" s="1093">
        <v>16</v>
      </c>
      <c r="M76" s="1093">
        <v>0</v>
      </c>
      <c r="N76" s="1093">
        <v>0</v>
      </c>
      <c r="O76" s="1093">
        <v>0</v>
      </c>
      <c r="P76" s="1095">
        <v>0</v>
      </c>
      <c r="Q76" s="1040">
        <v>6</v>
      </c>
      <c r="R76" s="1109">
        <f>L76+M76+N76+O76+P76+Q76</f>
        <v>22</v>
      </c>
      <c r="S76" s="1007">
        <f t="shared" si="9"/>
        <v>76.81159420289855</v>
      </c>
      <c r="T76" s="818">
        <f>Q76+I76+F76-C76</f>
        <v>0</v>
      </c>
      <c r="U76" s="1159">
        <f>(J76+K76+L76+M76+N76+O76+P76)/H76*100</f>
        <v>92</v>
      </c>
      <c r="V76" s="1160"/>
      <c r="W76" s="1152">
        <f>L76+M76+N76+O76+P76</f>
        <v>16</v>
      </c>
      <c r="X76" s="1161" t="e">
        <f t="shared" si="23"/>
        <v>#DIV/0!</v>
      </c>
    </row>
    <row r="77" spans="1:24" ht="24.75" customHeight="1" thickBot="1">
      <c r="A77" s="718">
        <v>10.2</v>
      </c>
      <c r="B77" s="713" t="s">
        <v>747</v>
      </c>
      <c r="C77" s="1098">
        <f t="shared" si="13"/>
        <v>92</v>
      </c>
      <c r="D77" s="1099">
        <v>42</v>
      </c>
      <c r="E77" s="1099">
        <v>50</v>
      </c>
      <c r="F77" s="1100">
        <v>0</v>
      </c>
      <c r="G77" s="1100">
        <v>0</v>
      </c>
      <c r="H77" s="1098">
        <f t="shared" si="14"/>
        <v>92</v>
      </c>
      <c r="I77" s="1098">
        <f t="shared" si="15"/>
        <v>76</v>
      </c>
      <c r="J77" s="1099">
        <v>51</v>
      </c>
      <c r="K77" s="1099">
        <v>5</v>
      </c>
      <c r="L77" s="1099">
        <v>19</v>
      </c>
      <c r="M77" s="1099">
        <v>1</v>
      </c>
      <c r="N77" s="1099">
        <v>0</v>
      </c>
      <c r="O77" s="1099">
        <v>0</v>
      </c>
      <c r="P77" s="1101">
        <v>0</v>
      </c>
      <c r="Q77" s="1118">
        <v>16</v>
      </c>
      <c r="R77" s="1103">
        <f>L77+M77+N77+O77+P77+Q77</f>
        <v>36</v>
      </c>
      <c r="S77" s="1008">
        <f t="shared" si="9"/>
        <v>73.68421052631578</v>
      </c>
      <c r="T77" s="818">
        <f>Q77+I77+F77-C77</f>
        <v>0</v>
      </c>
      <c r="U77" s="1159">
        <f>(J77+K77+L77+M77+N77+O77+P77)/H77*100</f>
        <v>82.6086956521739</v>
      </c>
      <c r="V77" s="1160"/>
      <c r="W77" s="1152">
        <f>L77+M77+N77+O77+P77</f>
        <v>20</v>
      </c>
      <c r="X77" s="1161" t="e">
        <f t="shared" si="23"/>
        <v>#DIV/0!</v>
      </c>
    </row>
    <row r="78" spans="1:22" s="409" customFormat="1" ht="18.75" customHeight="1" thickTop="1">
      <c r="A78" s="1597"/>
      <c r="B78" s="1597"/>
      <c r="C78" s="1597"/>
      <c r="D78" s="1597"/>
      <c r="E78" s="1597"/>
      <c r="F78" s="898"/>
      <c r="G78" s="898"/>
      <c r="H78" s="898"/>
      <c r="I78" s="898"/>
      <c r="J78" s="898"/>
      <c r="K78" s="898"/>
      <c r="L78" s="898"/>
      <c r="M78" s="898"/>
      <c r="N78" s="1603" t="str">
        <f>'Thong tin'!B9</f>
        <v>Bình Thuận, ngày 04 tháng 10 năm 2016</v>
      </c>
      <c r="O78" s="1603"/>
      <c r="P78" s="1603"/>
      <c r="Q78" s="1603"/>
      <c r="R78" s="1524"/>
      <c r="S78" s="1603"/>
      <c r="V78" s="1160"/>
    </row>
    <row r="79" spans="1:22" s="410" customFormat="1" ht="19.5" customHeight="1">
      <c r="A79" s="899"/>
      <c r="B79" s="1573" t="s">
        <v>4</v>
      </c>
      <c r="C79" s="1573"/>
      <c r="D79" s="1573"/>
      <c r="E79" s="1573"/>
      <c r="F79" s="867"/>
      <c r="G79" s="867"/>
      <c r="H79" s="867"/>
      <c r="I79" s="867"/>
      <c r="J79" s="867"/>
      <c r="K79" s="867"/>
      <c r="L79" s="867"/>
      <c r="M79" s="867"/>
      <c r="N79" s="1519" t="str">
        <f>'Thong tin'!B7</f>
        <v>KT. CỤC TRƯỞNG</v>
      </c>
      <c r="O79" s="1519"/>
      <c r="P79" s="1519"/>
      <c r="Q79" s="1519"/>
      <c r="R79" s="1519"/>
      <c r="S79" s="1519"/>
      <c r="V79" s="1160"/>
    </row>
    <row r="80" spans="1:22" ht="16.5">
      <c r="A80" s="865"/>
      <c r="B80" s="1541"/>
      <c r="C80" s="1541"/>
      <c r="D80" s="1541"/>
      <c r="E80" s="851"/>
      <c r="F80" s="851"/>
      <c r="G80" s="851"/>
      <c r="H80" s="851"/>
      <c r="I80" s="851"/>
      <c r="J80" s="851"/>
      <c r="K80" s="851"/>
      <c r="L80" s="851"/>
      <c r="M80" s="851"/>
      <c r="N80" s="1537" t="str">
        <f>'Thong tin'!B8</f>
        <v>PHÓ CỤC TRƯỞNG</v>
      </c>
      <c r="O80" s="1537"/>
      <c r="P80" s="1537"/>
      <c r="Q80" s="1537"/>
      <c r="R80" s="1537"/>
      <c r="S80" s="1537"/>
      <c r="V80" s="1160"/>
    </row>
    <row r="81" spans="1:22" ht="16.5">
      <c r="A81" s="865"/>
      <c r="B81" s="865"/>
      <c r="C81" s="865"/>
      <c r="D81" s="851"/>
      <c r="E81" s="851"/>
      <c r="F81" s="851"/>
      <c r="G81" s="851"/>
      <c r="H81" s="851"/>
      <c r="I81" s="851"/>
      <c r="J81" s="851"/>
      <c r="K81" s="851"/>
      <c r="L81" s="851"/>
      <c r="M81" s="851"/>
      <c r="N81" s="851"/>
      <c r="O81" s="851"/>
      <c r="P81" s="851"/>
      <c r="Q81" s="851"/>
      <c r="R81" s="865"/>
      <c r="S81" s="865"/>
      <c r="V81" s="1160">
        <f>K81+L81+N81+O81+P81</f>
        <v>0</v>
      </c>
    </row>
    <row r="82" spans="1:22" ht="16.5">
      <c r="A82" s="865"/>
      <c r="B82" s="1592"/>
      <c r="C82" s="1592"/>
      <c r="D82" s="1592"/>
      <c r="E82" s="1592"/>
      <c r="F82" s="851"/>
      <c r="G82" s="851"/>
      <c r="H82" s="851"/>
      <c r="I82" s="851"/>
      <c r="J82" s="851"/>
      <c r="K82" s="851"/>
      <c r="L82" s="851"/>
      <c r="M82" s="851"/>
      <c r="N82" s="851"/>
      <c r="O82" s="851"/>
      <c r="P82" s="1592"/>
      <c r="Q82" s="1592"/>
      <c r="R82" s="1592"/>
      <c r="S82" s="865"/>
      <c r="V82" s="1160">
        <f>K82+L82+N82+O82+P82</f>
        <v>0</v>
      </c>
    </row>
    <row r="83" spans="1:22" ht="16.5">
      <c r="A83" s="868"/>
      <c r="B83" s="868"/>
      <c r="C83" s="868"/>
      <c r="D83" s="868"/>
      <c r="E83" s="868"/>
      <c r="F83" s="868"/>
      <c r="G83" s="868"/>
      <c r="H83" s="868"/>
      <c r="I83" s="868"/>
      <c r="J83" s="868"/>
      <c r="K83" s="868"/>
      <c r="L83" s="868"/>
      <c r="M83" s="868"/>
      <c r="N83" s="868"/>
      <c r="O83" s="868"/>
      <c r="P83" s="868"/>
      <c r="Q83" s="865"/>
      <c r="R83" s="865"/>
      <c r="S83" s="865"/>
      <c r="V83" s="1160">
        <f>K83+L83+N83+O83+P83</f>
        <v>0</v>
      </c>
    </row>
    <row r="84" spans="1:19" ht="16.5">
      <c r="A84" s="865"/>
      <c r="B84" s="865"/>
      <c r="C84" s="865"/>
      <c r="D84" s="865"/>
      <c r="E84" s="865"/>
      <c r="F84" s="865"/>
      <c r="G84" s="865"/>
      <c r="H84" s="865"/>
      <c r="I84" s="865"/>
      <c r="J84" s="865"/>
      <c r="K84" s="865"/>
      <c r="L84" s="865"/>
      <c r="M84" s="865"/>
      <c r="N84" s="865"/>
      <c r="O84" s="865"/>
      <c r="P84" s="865"/>
      <c r="Q84" s="865"/>
      <c r="R84" s="865"/>
      <c r="S84" s="865"/>
    </row>
    <row r="85" spans="1:19" ht="16.5">
      <c r="A85" s="865"/>
      <c r="B85" s="1537" t="str">
        <f>'Thong tin'!B5</f>
        <v>Trần Quốc Bảo</v>
      </c>
      <c r="C85" s="1537"/>
      <c r="D85" s="1537"/>
      <c r="E85" s="1537"/>
      <c r="F85" s="865"/>
      <c r="G85" s="865"/>
      <c r="H85" s="865"/>
      <c r="I85" s="865"/>
      <c r="J85" s="865"/>
      <c r="K85" s="865"/>
      <c r="L85" s="865"/>
      <c r="M85" s="865"/>
      <c r="N85" s="1537" t="str">
        <f>'Thong tin'!B6</f>
        <v>Trần Nam</v>
      </c>
      <c r="O85" s="1537"/>
      <c r="P85" s="1537"/>
      <c r="Q85" s="1537"/>
      <c r="R85" s="1537"/>
      <c r="S85" s="1537"/>
    </row>
    <row r="86" spans="1:19" ht="18.75">
      <c r="A86" s="454"/>
      <c r="B86" s="454"/>
      <c r="C86" s="454"/>
      <c r="D86" s="454"/>
      <c r="E86" s="454"/>
      <c r="F86" s="454"/>
      <c r="G86" s="454"/>
      <c r="H86" s="454"/>
      <c r="I86" s="454"/>
      <c r="J86" s="454"/>
      <c r="K86" s="454"/>
      <c r="L86" s="454"/>
      <c r="M86" s="454"/>
      <c r="N86" s="454"/>
      <c r="O86" s="454"/>
      <c r="P86" s="454"/>
      <c r="Q86" s="454"/>
      <c r="R86" s="454"/>
      <c r="S86" s="454"/>
    </row>
  </sheetData>
  <sheetProtection/>
  <mergeCells count="35">
    <mergeCell ref="E1:O1"/>
    <mergeCell ref="E2:O2"/>
    <mergeCell ref="E3:O3"/>
    <mergeCell ref="F6:F9"/>
    <mergeCell ref="G6:G9"/>
    <mergeCell ref="H6:Q6"/>
    <mergeCell ref="C6:E6"/>
    <mergeCell ref="A2:D2"/>
    <mergeCell ref="P2:S2"/>
    <mergeCell ref="A3:D3"/>
    <mergeCell ref="R6:R9"/>
    <mergeCell ref="E8:E9"/>
    <mergeCell ref="J8:P8"/>
    <mergeCell ref="N79:S79"/>
    <mergeCell ref="N78:S78"/>
    <mergeCell ref="P4:S4"/>
    <mergeCell ref="A6:B9"/>
    <mergeCell ref="H7:H9"/>
    <mergeCell ref="Q7:Q9"/>
    <mergeCell ref="I8:I9"/>
    <mergeCell ref="S6:S9"/>
    <mergeCell ref="I7:P7"/>
    <mergeCell ref="C7:C9"/>
    <mergeCell ref="D7:E7"/>
    <mergeCell ref="D8:D9"/>
    <mergeCell ref="A10:B10"/>
    <mergeCell ref="B79:E79"/>
    <mergeCell ref="A11:B11"/>
    <mergeCell ref="A78:E78"/>
    <mergeCell ref="N85:S85"/>
    <mergeCell ref="N80:S80"/>
    <mergeCell ref="B80:D80"/>
    <mergeCell ref="B85:E85"/>
    <mergeCell ref="B82:E82"/>
    <mergeCell ref="P82:R82"/>
  </mergeCells>
  <printOptions/>
  <pageMargins left="0.25" right="0" top="0" bottom="0" header="0.183070866" footer="0.025590551"/>
  <pageSetup horizontalDpi="600" verticalDpi="600" orientation="landscape" paperSize="9" scale="88" r:id="rId2"/>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87"/>
  <sheetViews>
    <sheetView showZeros="0" view="pageBreakPreview" zoomScaleNormal="85" zoomScaleSheetLayoutView="100" zoomScalePageLayoutView="0" workbookViewId="0" topLeftCell="A1">
      <selection activeCell="W60" sqref="W60"/>
    </sheetView>
  </sheetViews>
  <sheetFormatPr defaultColWidth="9.00390625" defaultRowHeight="15.75"/>
  <cols>
    <col min="1" max="1" width="3.50390625" style="421" customWidth="1"/>
    <col min="2" max="2" width="18.50390625" style="421" customWidth="1"/>
    <col min="3" max="3" width="10.125" style="421" customWidth="1"/>
    <col min="4" max="4" width="9.375" style="421" customWidth="1"/>
    <col min="5" max="5" width="8.875" style="421" customWidth="1"/>
    <col min="6" max="6" width="8.00390625" style="421" customWidth="1"/>
    <col min="7" max="7" width="9.125" style="421" customWidth="1"/>
    <col min="8" max="8" width="9.75390625" style="421" customWidth="1"/>
    <col min="9" max="9" width="10.25390625" style="421" customWidth="1"/>
    <col min="10" max="10" width="8.625" style="421" customWidth="1"/>
    <col min="11" max="11" width="8.375" style="421" customWidth="1"/>
    <col min="12" max="12" width="5.875" style="421" customWidth="1"/>
    <col min="13" max="13" width="10.00390625" style="421" customWidth="1"/>
    <col min="14" max="14" width="7.50390625" style="421" customWidth="1"/>
    <col min="15" max="15" width="7.875" style="421" customWidth="1"/>
    <col min="16" max="16" width="6.75390625" style="421" customWidth="1"/>
    <col min="17" max="17" width="8.625" style="421" customWidth="1"/>
    <col min="18" max="18" width="8.375" style="421" customWidth="1"/>
    <col min="19" max="19" width="10.875" style="421" customWidth="1"/>
    <col min="20" max="20" width="6.75390625" style="421" customWidth="1"/>
    <col min="21" max="21" width="9.50390625" style="421" customWidth="1"/>
    <col min="22" max="22" width="6.875" style="421" customWidth="1"/>
    <col min="23" max="23" width="13.50390625" style="421" bestFit="1" customWidth="1"/>
    <col min="24" max="16384" width="9.00390625" style="421" customWidth="1"/>
  </cols>
  <sheetData>
    <row r="1" spans="1:20" s="437" customFormat="1" ht="20.25" customHeight="1">
      <c r="A1" s="490" t="s">
        <v>35</v>
      </c>
      <c r="B1" s="490"/>
      <c r="C1" s="490"/>
      <c r="D1" s="487"/>
      <c r="E1" s="1604" t="s">
        <v>762</v>
      </c>
      <c r="F1" s="1604"/>
      <c r="G1" s="1604"/>
      <c r="H1" s="1604"/>
      <c r="I1" s="1604"/>
      <c r="J1" s="1604"/>
      <c r="K1" s="1604"/>
      <c r="L1" s="1604"/>
      <c r="M1" s="1604"/>
      <c r="N1" s="1604"/>
      <c r="O1" s="1604"/>
      <c r="P1" s="1604"/>
      <c r="Q1" s="505" t="s">
        <v>578</v>
      </c>
      <c r="R1" s="481"/>
      <c r="S1" s="481"/>
      <c r="T1" s="481"/>
    </row>
    <row r="2" spans="1:20" ht="17.25" customHeight="1">
      <c r="A2" s="1613" t="s">
        <v>342</v>
      </c>
      <c r="B2" s="1613"/>
      <c r="C2" s="1613"/>
      <c r="D2" s="1613"/>
      <c r="E2" s="1605" t="s">
        <v>42</v>
      </c>
      <c r="F2" s="1605"/>
      <c r="G2" s="1605"/>
      <c r="H2" s="1605"/>
      <c r="I2" s="1605"/>
      <c r="J2" s="1605"/>
      <c r="K2" s="1605"/>
      <c r="L2" s="1605"/>
      <c r="M2" s="1605"/>
      <c r="N2" s="1605"/>
      <c r="O2" s="1605"/>
      <c r="P2" s="1605"/>
      <c r="Q2" s="1614" t="str">
        <f>'Thong tin'!B4</f>
        <v>Cục THADS tỉnh Bình Thuận</v>
      </c>
      <c r="R2" s="1614"/>
      <c r="S2" s="1614"/>
      <c r="T2" s="1614"/>
    </row>
    <row r="3" spans="1:20" s="437" customFormat="1" ht="18" customHeight="1">
      <c r="A3" s="1619" t="s">
        <v>343</v>
      </c>
      <c r="B3" s="1619"/>
      <c r="C3" s="1619"/>
      <c r="D3" s="1619"/>
      <c r="E3" s="1606" t="str">
        <f>'Thong tin'!B3</f>
        <v>12 tháng / năm 2016</v>
      </c>
      <c r="F3" s="1606"/>
      <c r="G3" s="1606"/>
      <c r="H3" s="1606"/>
      <c r="I3" s="1606"/>
      <c r="J3" s="1606"/>
      <c r="K3" s="1606"/>
      <c r="L3" s="1606"/>
      <c r="M3" s="1606"/>
      <c r="N3" s="1606"/>
      <c r="O3" s="1606"/>
      <c r="P3" s="1606"/>
      <c r="Q3" s="505" t="s">
        <v>468</v>
      </c>
      <c r="R3" s="488"/>
      <c r="S3" s="481"/>
      <c r="T3" s="481"/>
    </row>
    <row r="4" spans="1:20" ht="14.25" customHeight="1">
      <c r="A4" s="489" t="s">
        <v>217</v>
      </c>
      <c r="B4" s="455"/>
      <c r="C4" s="455"/>
      <c r="D4" s="455"/>
      <c r="E4" s="455"/>
      <c r="F4" s="455"/>
      <c r="G4" s="455"/>
      <c r="H4" s="455"/>
      <c r="I4" s="455"/>
      <c r="J4" s="455"/>
      <c r="K4" s="455"/>
      <c r="L4" s="455"/>
      <c r="M4" s="455"/>
      <c r="N4" s="455"/>
      <c r="O4" s="494"/>
      <c r="P4" s="494"/>
      <c r="Q4" s="1615" t="s">
        <v>410</v>
      </c>
      <c r="R4" s="1615"/>
      <c r="S4" s="1615"/>
      <c r="T4" s="1615"/>
    </row>
    <row r="5" spans="1:20" s="437" customFormat="1" ht="21.75" customHeight="1" thickBot="1">
      <c r="A5" s="421"/>
      <c r="B5" s="24"/>
      <c r="C5" s="24"/>
      <c r="D5" s="421"/>
      <c r="E5" s="421"/>
      <c r="F5" s="421"/>
      <c r="G5" s="421"/>
      <c r="H5" s="421"/>
      <c r="I5" s="421"/>
      <c r="J5" s="421"/>
      <c r="K5" s="421"/>
      <c r="L5" s="421"/>
      <c r="M5" s="421"/>
      <c r="N5" s="421"/>
      <c r="O5" s="421"/>
      <c r="P5" s="421"/>
      <c r="Q5" s="1612" t="s">
        <v>579</v>
      </c>
      <c r="R5" s="1612"/>
      <c r="S5" s="1612"/>
      <c r="T5" s="1612"/>
    </row>
    <row r="6" spans="1:36" s="437" customFormat="1" ht="18.75" customHeight="1" thickTop="1">
      <c r="A6" s="1623" t="s">
        <v>72</v>
      </c>
      <c r="B6" s="1624"/>
      <c r="C6" s="1618" t="s">
        <v>218</v>
      </c>
      <c r="D6" s="1618"/>
      <c r="E6" s="1618"/>
      <c r="F6" s="1610" t="s">
        <v>134</v>
      </c>
      <c r="G6" s="1610" t="s">
        <v>219</v>
      </c>
      <c r="H6" s="1611" t="s">
        <v>137</v>
      </c>
      <c r="I6" s="1611"/>
      <c r="J6" s="1611"/>
      <c r="K6" s="1611"/>
      <c r="L6" s="1611"/>
      <c r="M6" s="1611"/>
      <c r="N6" s="1611"/>
      <c r="O6" s="1611"/>
      <c r="P6" s="1611"/>
      <c r="Q6" s="1611"/>
      <c r="R6" s="1611"/>
      <c r="S6" s="1618" t="s">
        <v>352</v>
      </c>
      <c r="T6" s="1616" t="s">
        <v>577</v>
      </c>
      <c r="U6" s="439"/>
      <c r="V6" s="439"/>
      <c r="W6" s="439"/>
      <c r="X6" s="439"/>
      <c r="Y6" s="439"/>
      <c r="Z6" s="439"/>
      <c r="AA6" s="439"/>
      <c r="AB6" s="439"/>
      <c r="AC6" s="439"/>
      <c r="AD6" s="439"/>
      <c r="AE6" s="439"/>
      <c r="AF6" s="439"/>
      <c r="AG6" s="439"/>
      <c r="AH6" s="439"/>
      <c r="AI6" s="439"/>
      <c r="AJ6" s="439"/>
    </row>
    <row r="7" spans="1:36" s="495" customFormat="1" ht="21" customHeight="1">
      <c r="A7" s="1625"/>
      <c r="B7" s="1599"/>
      <c r="C7" s="1601" t="s">
        <v>51</v>
      </c>
      <c r="D7" s="1602" t="s">
        <v>7</v>
      </c>
      <c r="E7" s="1602"/>
      <c r="F7" s="1600"/>
      <c r="G7" s="1600"/>
      <c r="H7" s="1600" t="s">
        <v>137</v>
      </c>
      <c r="I7" s="1601" t="s">
        <v>138</v>
      </c>
      <c r="J7" s="1601"/>
      <c r="K7" s="1601"/>
      <c r="L7" s="1601"/>
      <c r="M7" s="1601"/>
      <c r="N7" s="1601"/>
      <c r="O7" s="1601"/>
      <c r="P7" s="1601"/>
      <c r="Q7" s="1601"/>
      <c r="R7" s="1600" t="s">
        <v>220</v>
      </c>
      <c r="S7" s="1601"/>
      <c r="T7" s="1617"/>
      <c r="U7" s="481"/>
      <c r="V7" s="481"/>
      <c r="W7" s="481"/>
      <c r="X7" s="481"/>
      <c r="Y7" s="481"/>
      <c r="Z7" s="481"/>
      <c r="AA7" s="481"/>
      <c r="AB7" s="481"/>
      <c r="AC7" s="481"/>
      <c r="AD7" s="481"/>
      <c r="AE7" s="481"/>
      <c r="AF7" s="481"/>
      <c r="AG7" s="481"/>
      <c r="AH7" s="481"/>
      <c r="AI7" s="481"/>
      <c r="AJ7" s="481"/>
    </row>
    <row r="8" spans="1:36" s="437" customFormat="1" ht="21.75" customHeight="1">
      <c r="A8" s="1625"/>
      <c r="B8" s="1599"/>
      <c r="C8" s="1601"/>
      <c r="D8" s="1602" t="s">
        <v>221</v>
      </c>
      <c r="E8" s="1602" t="s">
        <v>222</v>
      </c>
      <c r="F8" s="1600"/>
      <c r="G8" s="1600"/>
      <c r="H8" s="1600"/>
      <c r="I8" s="1600" t="s">
        <v>576</v>
      </c>
      <c r="J8" s="1602" t="s">
        <v>7</v>
      </c>
      <c r="K8" s="1602"/>
      <c r="L8" s="1602"/>
      <c r="M8" s="1602"/>
      <c r="N8" s="1602"/>
      <c r="O8" s="1602"/>
      <c r="P8" s="1602"/>
      <c r="Q8" s="1602"/>
      <c r="R8" s="1600"/>
      <c r="S8" s="1601"/>
      <c r="T8" s="1617"/>
      <c r="U8" s="439"/>
      <c r="V8" s="439"/>
      <c r="W8" s="439"/>
      <c r="X8" s="439"/>
      <c r="Y8" s="439"/>
      <c r="Z8" s="439"/>
      <c r="AA8" s="439"/>
      <c r="AB8" s="439"/>
      <c r="AC8" s="439"/>
      <c r="AD8" s="439"/>
      <c r="AE8" s="439"/>
      <c r="AF8" s="439"/>
      <c r="AG8" s="439"/>
      <c r="AH8" s="439"/>
      <c r="AI8" s="439"/>
      <c r="AJ8" s="439"/>
    </row>
    <row r="9" spans="1:36" s="437" customFormat="1" ht="71.25" customHeight="1">
      <c r="A9" s="1625"/>
      <c r="B9" s="1599"/>
      <c r="C9" s="1601"/>
      <c r="D9" s="1602"/>
      <c r="E9" s="1602"/>
      <c r="F9" s="1600"/>
      <c r="G9" s="1600"/>
      <c r="H9" s="1600"/>
      <c r="I9" s="1600"/>
      <c r="J9" s="1090" t="s">
        <v>223</v>
      </c>
      <c r="K9" s="1090" t="s">
        <v>224</v>
      </c>
      <c r="L9" s="1090" t="s">
        <v>202</v>
      </c>
      <c r="M9" s="1091" t="s">
        <v>142</v>
      </c>
      <c r="N9" s="1091" t="s">
        <v>225</v>
      </c>
      <c r="O9" s="1091" t="s">
        <v>146</v>
      </c>
      <c r="P9" s="1091" t="s">
        <v>353</v>
      </c>
      <c r="Q9" s="1091" t="s">
        <v>150</v>
      </c>
      <c r="R9" s="1600"/>
      <c r="S9" s="1601"/>
      <c r="T9" s="1617"/>
      <c r="U9" s="439"/>
      <c r="V9" s="439"/>
      <c r="W9" s="439"/>
      <c r="X9" s="439"/>
      <c r="Y9" s="439"/>
      <c r="Z9" s="439"/>
      <c r="AA9" s="439"/>
      <c r="AB9" s="439"/>
      <c r="AC9" s="439"/>
      <c r="AD9" s="439"/>
      <c r="AE9" s="439"/>
      <c r="AF9" s="439"/>
      <c r="AG9" s="439"/>
      <c r="AH9" s="439"/>
      <c r="AI9" s="439"/>
      <c r="AJ9" s="439"/>
    </row>
    <row r="10" spans="1:20" s="437" customFormat="1" ht="16.5" customHeight="1">
      <c r="A10" s="1626" t="s">
        <v>6</v>
      </c>
      <c r="B10" s="1627"/>
      <c r="C10" s="491">
        <v>1</v>
      </c>
      <c r="D10" s="491">
        <v>2</v>
      </c>
      <c r="E10" s="491">
        <v>3</v>
      </c>
      <c r="F10" s="491">
        <v>4</v>
      </c>
      <c r="G10" s="491">
        <v>5</v>
      </c>
      <c r="H10" s="491">
        <v>6</v>
      </c>
      <c r="I10" s="491">
        <v>7</v>
      </c>
      <c r="J10" s="491">
        <v>8</v>
      </c>
      <c r="K10" s="491">
        <v>9</v>
      </c>
      <c r="L10" s="491" t="s">
        <v>101</v>
      </c>
      <c r="M10" s="491" t="s">
        <v>102</v>
      </c>
      <c r="N10" s="491" t="s">
        <v>103</v>
      </c>
      <c r="O10" s="491" t="s">
        <v>104</v>
      </c>
      <c r="P10" s="491" t="s">
        <v>105</v>
      </c>
      <c r="Q10" s="491" t="s">
        <v>355</v>
      </c>
      <c r="R10" s="491" t="s">
        <v>356</v>
      </c>
      <c r="S10" s="491" t="s">
        <v>357</v>
      </c>
      <c r="T10" s="492" t="s">
        <v>358</v>
      </c>
    </row>
    <row r="11" spans="1:23" s="437" customFormat="1" ht="24" customHeight="1">
      <c r="A11" s="1621" t="s">
        <v>37</v>
      </c>
      <c r="B11" s="1622"/>
      <c r="C11" s="786">
        <f>C12+C25</f>
        <v>1354210013</v>
      </c>
      <c r="D11" s="786">
        <f aca="true" t="shared" si="0" ref="D11:R11">D12+D25</f>
        <v>841089114</v>
      </c>
      <c r="E11" s="786">
        <f t="shared" si="0"/>
        <v>513120899</v>
      </c>
      <c r="F11" s="786">
        <f t="shared" si="0"/>
        <v>48649822</v>
      </c>
      <c r="G11" s="786">
        <f t="shared" si="0"/>
        <v>151204565</v>
      </c>
      <c r="H11" s="786">
        <f t="shared" si="0"/>
        <v>1305560191</v>
      </c>
      <c r="I11" s="786">
        <f t="shared" si="0"/>
        <v>951243589</v>
      </c>
      <c r="J11" s="786">
        <f t="shared" si="0"/>
        <v>140225790</v>
      </c>
      <c r="K11" s="786">
        <f t="shared" si="0"/>
        <v>200183460</v>
      </c>
      <c r="L11" s="786">
        <f t="shared" si="0"/>
        <v>35966</v>
      </c>
      <c r="M11" s="786">
        <f t="shared" si="0"/>
        <v>549761802</v>
      </c>
      <c r="N11" s="786">
        <f t="shared" si="0"/>
        <v>23827042</v>
      </c>
      <c r="O11" s="786">
        <f t="shared" si="0"/>
        <v>12720575</v>
      </c>
      <c r="P11" s="786">
        <f t="shared" si="0"/>
        <v>353094</v>
      </c>
      <c r="Q11" s="786">
        <f t="shared" si="0"/>
        <v>24135860</v>
      </c>
      <c r="R11" s="786">
        <f t="shared" si="0"/>
        <v>354316602</v>
      </c>
      <c r="S11" s="786">
        <f>R11+Q11+P11+O11+N11+M11</f>
        <v>965114975</v>
      </c>
      <c r="T11" s="787">
        <f>(J11+K11+L11)/I11*100</f>
        <v>35.78948861646415</v>
      </c>
      <c r="U11" s="1152">
        <f>R11+I11+F11-C11</f>
        <v>0</v>
      </c>
      <c r="V11" s="1165">
        <f>(J11+K11+L11+M11+N11+O11+P11+Q11)/H11*100</f>
        <v>72.86095237565343</v>
      </c>
      <c r="W11" s="1167">
        <f>M11+N11+O11+P11+Q11</f>
        <v>610798373</v>
      </c>
    </row>
    <row r="12" spans="1:23" s="437" customFormat="1" ht="24" customHeight="1">
      <c r="A12" s="1123" t="s">
        <v>0</v>
      </c>
      <c r="B12" s="788" t="s">
        <v>98</v>
      </c>
      <c r="C12" s="786">
        <f>SUM(C13:C24)</f>
        <v>255173230</v>
      </c>
      <c r="D12" s="786">
        <f aca="true" t="shared" si="1" ref="D12:R12">SUM(D13:D24)</f>
        <v>88752762</v>
      </c>
      <c r="E12" s="786">
        <f t="shared" si="1"/>
        <v>166420468</v>
      </c>
      <c r="F12" s="786">
        <f t="shared" si="1"/>
        <v>703746</v>
      </c>
      <c r="G12" s="786">
        <f t="shared" si="1"/>
        <v>0</v>
      </c>
      <c r="H12" s="786">
        <f t="shared" si="1"/>
        <v>254469484</v>
      </c>
      <c r="I12" s="786">
        <f t="shared" si="1"/>
        <v>153835473</v>
      </c>
      <c r="J12" s="786">
        <f t="shared" si="1"/>
        <v>14743314</v>
      </c>
      <c r="K12" s="786">
        <f t="shared" si="1"/>
        <v>10461207</v>
      </c>
      <c r="L12" s="786">
        <f t="shared" si="1"/>
        <v>3882</v>
      </c>
      <c r="M12" s="786">
        <f t="shared" si="1"/>
        <v>112097119</v>
      </c>
      <c r="N12" s="786">
        <f t="shared" si="1"/>
        <v>5393455</v>
      </c>
      <c r="O12" s="786">
        <f t="shared" si="1"/>
        <v>9867393</v>
      </c>
      <c r="P12" s="786">
        <f t="shared" si="1"/>
        <v>0</v>
      </c>
      <c r="Q12" s="786">
        <f t="shared" si="1"/>
        <v>1269103</v>
      </c>
      <c r="R12" s="786">
        <f t="shared" si="1"/>
        <v>100634011</v>
      </c>
      <c r="S12" s="789">
        <f>R12+Q12+P12+O12+N12+M12</f>
        <v>229261081</v>
      </c>
      <c r="T12" s="790">
        <f>(J12+K12+L12)/I12*100</f>
        <v>16.386599597870383</v>
      </c>
      <c r="U12" s="1152">
        <f aca="true" t="shared" si="2" ref="U12:U75">R12+I12+F12-C12</f>
        <v>0</v>
      </c>
      <c r="V12" s="1166">
        <f aca="true" t="shared" si="3" ref="V12:V75">(J12+K12+L12+M12+N12+O12+P12+Q12)/H12*100</f>
        <v>60.45340705764154</v>
      </c>
      <c r="W12" s="1167">
        <f>M12+N12+O12+P12+Q12</f>
        <v>128627070</v>
      </c>
    </row>
    <row r="13" spans="1:23" s="437" customFormat="1" ht="23.25" customHeight="1">
      <c r="A13" s="1124" t="s">
        <v>52</v>
      </c>
      <c r="B13" s="901" t="s">
        <v>682</v>
      </c>
      <c r="C13" s="786">
        <f>D13+E13</f>
        <v>8042</v>
      </c>
      <c r="D13" s="902">
        <v>0</v>
      </c>
      <c r="E13" s="902">
        <v>8042</v>
      </c>
      <c r="F13" s="903">
        <v>0</v>
      </c>
      <c r="G13" s="903">
        <v>0</v>
      </c>
      <c r="H13" s="786">
        <f>I13+R13</f>
        <v>8042</v>
      </c>
      <c r="I13" s="786">
        <f>J13+K13+L13+M13+N13+O13+P13+Q13</f>
        <v>8042</v>
      </c>
      <c r="J13" s="902">
        <v>8042</v>
      </c>
      <c r="K13" s="902">
        <v>0</v>
      </c>
      <c r="L13" s="902">
        <v>0</v>
      </c>
      <c r="M13" s="902">
        <v>0</v>
      </c>
      <c r="N13" s="902">
        <v>0</v>
      </c>
      <c r="O13" s="902">
        <v>0</v>
      </c>
      <c r="P13" s="902">
        <v>0</v>
      </c>
      <c r="Q13" s="904">
        <v>0</v>
      </c>
      <c r="R13" s="1130">
        <v>0</v>
      </c>
      <c r="S13" s="905">
        <f>M13+N13+O13+P13+Q13+R13</f>
        <v>0</v>
      </c>
      <c r="T13" s="906">
        <f>(J13+K13+L13)/I13*100</f>
        <v>100</v>
      </c>
      <c r="U13" s="1152">
        <f t="shared" si="2"/>
        <v>0</v>
      </c>
      <c r="V13" s="1165">
        <f t="shared" si="3"/>
        <v>100</v>
      </c>
      <c r="W13" s="1158">
        <f aca="true" t="shared" si="4" ref="W13:W75">M13+N13+O13+P13+Q13</f>
        <v>0</v>
      </c>
    </row>
    <row r="14" spans="1:23" s="437" customFormat="1" ht="24" customHeight="1">
      <c r="A14" s="1124" t="s">
        <v>759</v>
      </c>
      <c r="B14" s="901" t="s">
        <v>684</v>
      </c>
      <c r="C14" s="786">
        <f>D14+E14</f>
        <v>31935991</v>
      </c>
      <c r="D14" s="902">
        <v>141608</v>
      </c>
      <c r="E14" s="902">
        <v>31794383</v>
      </c>
      <c r="F14" s="903">
        <v>0</v>
      </c>
      <c r="G14" s="903">
        <v>0</v>
      </c>
      <c r="H14" s="786">
        <f>I14+R14</f>
        <v>31935991</v>
      </c>
      <c r="I14" s="786">
        <f>J14+K14+L14+M14+N14+O14+P14+Q14</f>
        <v>30207583</v>
      </c>
      <c r="J14" s="902">
        <v>3269469</v>
      </c>
      <c r="K14" s="902">
        <v>6669928</v>
      </c>
      <c r="L14" s="902">
        <v>0</v>
      </c>
      <c r="M14" s="902">
        <v>20268186</v>
      </c>
      <c r="N14" s="902">
        <v>0</v>
      </c>
      <c r="O14" s="902">
        <v>0</v>
      </c>
      <c r="P14" s="902">
        <v>0</v>
      </c>
      <c r="Q14" s="904">
        <v>0</v>
      </c>
      <c r="R14" s="1130">
        <v>1728408</v>
      </c>
      <c r="S14" s="905">
        <f aca="true" t="shared" si="5" ref="S14:S24">M14+N14+O14+P14+Q14+R14</f>
        <v>21996594</v>
      </c>
      <c r="T14" s="906">
        <f aca="true" t="shared" si="6" ref="T14:T76">(J14+K14+L14)/I14*100</f>
        <v>32.903648729525955</v>
      </c>
      <c r="U14" s="1152">
        <f t="shared" si="2"/>
        <v>0</v>
      </c>
      <c r="V14" s="1165">
        <f t="shared" si="3"/>
        <v>94.58789927639947</v>
      </c>
      <c r="W14" s="1158">
        <f t="shared" si="4"/>
        <v>20268186</v>
      </c>
    </row>
    <row r="15" spans="1:23" s="437" customFormat="1" ht="24" customHeight="1">
      <c r="A15" s="1124" t="s">
        <v>58</v>
      </c>
      <c r="B15" s="901" t="s">
        <v>685</v>
      </c>
      <c r="C15" s="786">
        <f>D15+E15</f>
        <v>22327814</v>
      </c>
      <c r="D15" s="902">
        <v>0</v>
      </c>
      <c r="E15" s="902">
        <v>22327814</v>
      </c>
      <c r="F15" s="903">
        <v>0</v>
      </c>
      <c r="G15" s="903">
        <v>0</v>
      </c>
      <c r="H15" s="786">
        <f>I15+R15</f>
        <v>22327814</v>
      </c>
      <c r="I15" s="786">
        <f>J15+K15+L15+M15+N15+O15+P15+Q15</f>
        <v>5242261</v>
      </c>
      <c r="J15" s="902">
        <v>42802</v>
      </c>
      <c r="K15" s="902">
        <v>0</v>
      </c>
      <c r="L15" s="902">
        <v>0</v>
      </c>
      <c r="M15" s="902">
        <v>5199459</v>
      </c>
      <c r="N15" s="902">
        <v>0</v>
      </c>
      <c r="O15" s="902">
        <v>0</v>
      </c>
      <c r="P15" s="902">
        <v>0</v>
      </c>
      <c r="Q15" s="904">
        <v>0</v>
      </c>
      <c r="R15" s="1130">
        <v>17085553</v>
      </c>
      <c r="S15" s="905">
        <f t="shared" si="5"/>
        <v>22285012</v>
      </c>
      <c r="T15" s="906">
        <f t="shared" si="6"/>
        <v>0.8164797594015253</v>
      </c>
      <c r="U15" s="1152">
        <f t="shared" si="2"/>
        <v>0</v>
      </c>
      <c r="V15" s="1165">
        <f t="shared" si="3"/>
        <v>23.478612818970994</v>
      </c>
      <c r="W15" s="1158">
        <f t="shared" si="4"/>
        <v>5199459</v>
      </c>
    </row>
    <row r="16" spans="1:23" s="437" customFormat="1" ht="23.25" customHeight="1">
      <c r="A16" s="1124" t="s">
        <v>73</v>
      </c>
      <c r="B16" s="901" t="s">
        <v>686</v>
      </c>
      <c r="C16" s="786">
        <f aca="true" t="shared" si="7" ref="C16:C24">D16+E16</f>
        <v>89358935</v>
      </c>
      <c r="D16" s="902">
        <v>13876478</v>
      </c>
      <c r="E16" s="902">
        <f>74931730+550727</f>
        <v>75482457</v>
      </c>
      <c r="F16" s="903">
        <v>14060</v>
      </c>
      <c r="G16" s="903">
        <v>0</v>
      </c>
      <c r="H16" s="786">
        <f aca="true" t="shared" si="8" ref="H16:H24">I16+R16</f>
        <v>89344875</v>
      </c>
      <c r="I16" s="786">
        <f aca="true" t="shared" si="9" ref="I16:I24">J16+K16+L16+M16+N16+O16+P16+Q16</f>
        <v>34471354</v>
      </c>
      <c r="J16" s="902">
        <v>2567125</v>
      </c>
      <c r="K16" s="902">
        <v>342600</v>
      </c>
      <c r="L16" s="902">
        <v>905</v>
      </c>
      <c r="M16" s="902">
        <v>31560724</v>
      </c>
      <c r="N16" s="902">
        <v>0</v>
      </c>
      <c r="O16" s="902">
        <v>0</v>
      </c>
      <c r="P16" s="902">
        <v>0</v>
      </c>
      <c r="Q16" s="904">
        <v>0</v>
      </c>
      <c r="R16" s="1130">
        <v>54873521</v>
      </c>
      <c r="S16" s="905">
        <f t="shared" si="5"/>
        <v>86434245</v>
      </c>
      <c r="T16" s="906">
        <f t="shared" si="6"/>
        <v>8.443619592082168</v>
      </c>
      <c r="U16" s="1152">
        <f t="shared" si="2"/>
        <v>0</v>
      </c>
      <c r="V16" s="1165">
        <f t="shared" si="3"/>
        <v>38.58235181368825</v>
      </c>
      <c r="W16" s="1158">
        <f t="shared" si="4"/>
        <v>31560724</v>
      </c>
    </row>
    <row r="17" spans="1:23" s="437" customFormat="1" ht="21.75" customHeight="1">
      <c r="A17" s="1124" t="s">
        <v>74</v>
      </c>
      <c r="B17" s="901" t="s">
        <v>687</v>
      </c>
      <c r="C17" s="786">
        <f t="shared" si="7"/>
        <v>12414821</v>
      </c>
      <c r="D17" s="902">
        <v>9854353</v>
      </c>
      <c r="E17" s="902">
        <v>2560468</v>
      </c>
      <c r="F17" s="903">
        <v>187961</v>
      </c>
      <c r="G17" s="903">
        <v>0</v>
      </c>
      <c r="H17" s="786">
        <f t="shared" si="8"/>
        <v>12226860</v>
      </c>
      <c r="I17" s="786">
        <f t="shared" si="9"/>
        <v>5031642</v>
      </c>
      <c r="J17" s="902">
        <v>1693674</v>
      </c>
      <c r="K17" s="902">
        <v>37006</v>
      </c>
      <c r="L17" s="902">
        <v>0</v>
      </c>
      <c r="M17" s="902">
        <v>345225</v>
      </c>
      <c r="N17" s="902">
        <v>1755165</v>
      </c>
      <c r="O17" s="902">
        <v>0</v>
      </c>
      <c r="P17" s="902">
        <v>0</v>
      </c>
      <c r="Q17" s="904">
        <v>1200572</v>
      </c>
      <c r="R17" s="1130">
        <v>7195218</v>
      </c>
      <c r="S17" s="905">
        <f t="shared" si="5"/>
        <v>10496180</v>
      </c>
      <c r="T17" s="906">
        <f t="shared" si="6"/>
        <v>34.39592880415578</v>
      </c>
      <c r="U17" s="1152">
        <f t="shared" si="2"/>
        <v>0</v>
      </c>
      <c r="V17" s="1165">
        <f t="shared" si="3"/>
        <v>41.15236454821598</v>
      </c>
      <c r="W17" s="1158">
        <f t="shared" si="4"/>
        <v>3300962</v>
      </c>
    </row>
    <row r="18" spans="1:23" s="437" customFormat="1" ht="21.75" customHeight="1">
      <c r="A18" s="1124" t="s">
        <v>75</v>
      </c>
      <c r="B18" s="901" t="s">
        <v>688</v>
      </c>
      <c r="C18" s="786">
        <f t="shared" si="7"/>
        <v>5811379</v>
      </c>
      <c r="D18" s="902">
        <v>5640229</v>
      </c>
      <c r="E18" s="902">
        <v>171150</v>
      </c>
      <c r="F18" s="903">
        <v>37600</v>
      </c>
      <c r="G18" s="903">
        <v>0</v>
      </c>
      <c r="H18" s="786">
        <f t="shared" si="8"/>
        <v>5773779</v>
      </c>
      <c r="I18" s="786">
        <f t="shared" si="9"/>
        <v>391741</v>
      </c>
      <c r="J18" s="902">
        <v>136004</v>
      </c>
      <c r="K18" s="902">
        <v>0</v>
      </c>
      <c r="L18" s="902">
        <v>0</v>
      </c>
      <c r="M18" s="902">
        <v>255737</v>
      </c>
      <c r="N18" s="902">
        <v>0</v>
      </c>
      <c r="O18" s="902">
        <v>0</v>
      </c>
      <c r="P18" s="902">
        <v>0</v>
      </c>
      <c r="Q18" s="904">
        <v>0</v>
      </c>
      <c r="R18" s="1130">
        <v>5382038</v>
      </c>
      <c r="S18" s="905">
        <f t="shared" si="5"/>
        <v>5637775</v>
      </c>
      <c r="T18" s="906">
        <f t="shared" si="6"/>
        <v>34.71783652974797</v>
      </c>
      <c r="U18" s="1152">
        <f t="shared" si="2"/>
        <v>0</v>
      </c>
      <c r="V18" s="1165">
        <f t="shared" si="3"/>
        <v>6.784828445979661</v>
      </c>
      <c r="W18" s="1158">
        <f t="shared" si="4"/>
        <v>255737</v>
      </c>
    </row>
    <row r="19" spans="1:23" s="437" customFormat="1" ht="23.25" customHeight="1">
      <c r="A19" s="1124" t="s">
        <v>76</v>
      </c>
      <c r="B19" s="901" t="s">
        <v>689</v>
      </c>
      <c r="C19" s="786">
        <f t="shared" si="7"/>
        <v>25197042</v>
      </c>
      <c r="D19" s="902">
        <v>12467004</v>
      </c>
      <c r="E19" s="902">
        <v>12730038</v>
      </c>
      <c r="F19" s="903">
        <v>167400</v>
      </c>
      <c r="G19" s="903">
        <v>0</v>
      </c>
      <c r="H19" s="786">
        <f t="shared" si="8"/>
        <v>25029642</v>
      </c>
      <c r="I19" s="786">
        <f t="shared" si="9"/>
        <v>24682196</v>
      </c>
      <c r="J19" s="902">
        <v>1994694</v>
      </c>
      <c r="K19" s="902">
        <v>1327514</v>
      </c>
      <c r="L19" s="902">
        <v>0</v>
      </c>
      <c r="M19" s="902">
        <v>18018767</v>
      </c>
      <c r="N19" s="902">
        <v>2932619</v>
      </c>
      <c r="O19" s="902">
        <v>408602</v>
      </c>
      <c r="P19" s="902">
        <v>0</v>
      </c>
      <c r="Q19" s="904">
        <v>0</v>
      </c>
      <c r="R19" s="1130">
        <v>347446</v>
      </c>
      <c r="S19" s="905">
        <f t="shared" si="5"/>
        <v>21707434</v>
      </c>
      <c r="T19" s="906">
        <f t="shared" si="6"/>
        <v>13.459936871095262</v>
      </c>
      <c r="U19" s="1152">
        <f t="shared" si="2"/>
        <v>0</v>
      </c>
      <c r="V19" s="1165">
        <f t="shared" si="3"/>
        <v>98.61186188759712</v>
      </c>
      <c r="W19" s="1158">
        <f t="shared" si="4"/>
        <v>21359988</v>
      </c>
    </row>
    <row r="20" spans="1:23" s="437" customFormat="1" ht="23.25" customHeight="1">
      <c r="A20" s="1124" t="s">
        <v>77</v>
      </c>
      <c r="B20" s="907" t="s">
        <v>690</v>
      </c>
      <c r="C20" s="786">
        <f t="shared" si="7"/>
        <v>28363340</v>
      </c>
      <c r="D20" s="902">
        <v>18776656</v>
      </c>
      <c r="E20" s="902">
        <v>9586684</v>
      </c>
      <c r="F20" s="903">
        <v>621</v>
      </c>
      <c r="G20" s="903">
        <v>0</v>
      </c>
      <c r="H20" s="786">
        <f t="shared" si="8"/>
        <v>28362719</v>
      </c>
      <c r="I20" s="786">
        <f t="shared" si="9"/>
        <v>17244342</v>
      </c>
      <c r="J20" s="902">
        <v>29162</v>
      </c>
      <c r="K20" s="902">
        <v>92000</v>
      </c>
      <c r="L20" s="902">
        <v>0</v>
      </c>
      <c r="M20" s="902">
        <v>17040482</v>
      </c>
      <c r="N20" s="902">
        <v>82698</v>
      </c>
      <c r="O20" s="902">
        <v>0</v>
      </c>
      <c r="P20" s="902">
        <v>0</v>
      </c>
      <c r="Q20" s="904">
        <v>0</v>
      </c>
      <c r="R20" s="1130">
        <v>11118377</v>
      </c>
      <c r="S20" s="905">
        <f t="shared" si="5"/>
        <v>28241557</v>
      </c>
      <c r="T20" s="906">
        <f t="shared" si="6"/>
        <v>0.7026188647847509</v>
      </c>
      <c r="U20" s="1152">
        <f t="shared" si="2"/>
        <v>0</v>
      </c>
      <c r="V20" s="1165">
        <f t="shared" si="3"/>
        <v>60.79932604486898</v>
      </c>
      <c r="W20" s="1158">
        <f t="shared" si="4"/>
        <v>17123180</v>
      </c>
    </row>
    <row r="21" spans="1:23" s="437" customFormat="1" ht="24.75" customHeight="1">
      <c r="A21" s="1124" t="s">
        <v>78</v>
      </c>
      <c r="B21" s="907" t="s">
        <v>691</v>
      </c>
      <c r="C21" s="786">
        <f t="shared" si="7"/>
        <v>2786362</v>
      </c>
      <c r="D21" s="902">
        <v>2487724</v>
      </c>
      <c r="E21" s="902">
        <v>298638</v>
      </c>
      <c r="F21" s="903">
        <v>130000</v>
      </c>
      <c r="G21" s="903">
        <v>0</v>
      </c>
      <c r="H21" s="786">
        <f t="shared" si="8"/>
        <v>2656362</v>
      </c>
      <c r="I21" s="786">
        <f t="shared" si="9"/>
        <v>2067604</v>
      </c>
      <c r="J21" s="902">
        <v>1317528</v>
      </c>
      <c r="K21" s="902">
        <v>38000</v>
      </c>
      <c r="L21" s="902">
        <v>0</v>
      </c>
      <c r="M21" s="902">
        <v>712076</v>
      </c>
      <c r="N21" s="902">
        <v>0</v>
      </c>
      <c r="O21" s="902">
        <v>0</v>
      </c>
      <c r="P21" s="902">
        <v>0</v>
      </c>
      <c r="Q21" s="904">
        <v>0</v>
      </c>
      <c r="R21" s="1130">
        <v>588758</v>
      </c>
      <c r="S21" s="905">
        <f t="shared" si="5"/>
        <v>1300834</v>
      </c>
      <c r="T21" s="906">
        <f t="shared" si="6"/>
        <v>65.5603297343205</v>
      </c>
      <c r="U21" s="1152">
        <f t="shared" si="2"/>
        <v>0</v>
      </c>
      <c r="V21" s="1165">
        <f t="shared" si="3"/>
        <v>77.83592748277532</v>
      </c>
      <c r="W21" s="1158">
        <f t="shared" si="4"/>
        <v>712076</v>
      </c>
    </row>
    <row r="22" spans="1:23" ht="24.75" customHeight="1">
      <c r="A22" s="1124" t="s">
        <v>101</v>
      </c>
      <c r="B22" s="901" t="s">
        <v>692</v>
      </c>
      <c r="C22" s="786">
        <f t="shared" si="7"/>
        <v>14901006</v>
      </c>
      <c r="D22" s="902">
        <v>14035424</v>
      </c>
      <c r="E22" s="902">
        <v>865582</v>
      </c>
      <c r="F22" s="903">
        <v>3650</v>
      </c>
      <c r="G22" s="903">
        <v>0</v>
      </c>
      <c r="H22" s="786">
        <f t="shared" si="8"/>
        <v>14897356</v>
      </c>
      <c r="I22" s="786">
        <f t="shared" si="9"/>
        <v>13624804</v>
      </c>
      <c r="J22" s="902">
        <v>1724986</v>
      </c>
      <c r="K22" s="902">
        <v>0</v>
      </c>
      <c r="L22" s="902">
        <v>0</v>
      </c>
      <c r="M22" s="902">
        <v>2372496</v>
      </c>
      <c r="N22" s="902">
        <v>0</v>
      </c>
      <c r="O22" s="902">
        <v>9458791</v>
      </c>
      <c r="P22" s="902">
        <v>0</v>
      </c>
      <c r="Q22" s="904">
        <v>68531</v>
      </c>
      <c r="R22" s="1130">
        <v>1272552</v>
      </c>
      <c r="S22" s="905">
        <f t="shared" si="5"/>
        <v>13172370</v>
      </c>
      <c r="T22" s="906">
        <f t="shared" si="6"/>
        <v>12.660629833647516</v>
      </c>
      <c r="U22" s="1152">
        <f t="shared" si="2"/>
        <v>0</v>
      </c>
      <c r="V22" s="1165">
        <f t="shared" si="3"/>
        <v>91.45786675165714</v>
      </c>
      <c r="W22" s="1158">
        <f t="shared" si="4"/>
        <v>11899818</v>
      </c>
    </row>
    <row r="23" spans="1:23" ht="24.75" customHeight="1">
      <c r="A23" s="1124" t="s">
        <v>102</v>
      </c>
      <c r="B23" s="901" t="s">
        <v>760</v>
      </c>
      <c r="C23" s="786">
        <f t="shared" si="7"/>
        <v>9495594</v>
      </c>
      <c r="D23" s="902">
        <v>6920926</v>
      </c>
      <c r="E23" s="902">
        <v>2574668</v>
      </c>
      <c r="F23" s="903">
        <v>114450</v>
      </c>
      <c r="G23" s="903">
        <v>0</v>
      </c>
      <c r="H23" s="786">
        <f t="shared" si="8"/>
        <v>9381144</v>
      </c>
      <c r="I23" s="786">
        <f t="shared" si="9"/>
        <v>8855519</v>
      </c>
      <c r="J23" s="902">
        <v>1512808</v>
      </c>
      <c r="K23" s="902">
        <v>856228</v>
      </c>
      <c r="L23" s="902">
        <v>2977</v>
      </c>
      <c r="M23" s="902">
        <v>6483506</v>
      </c>
      <c r="N23" s="902">
        <v>0</v>
      </c>
      <c r="O23" s="902">
        <v>0</v>
      </c>
      <c r="P23" s="902">
        <v>0</v>
      </c>
      <c r="Q23" s="904">
        <v>0</v>
      </c>
      <c r="R23" s="1130">
        <v>525625</v>
      </c>
      <c r="S23" s="905">
        <f t="shared" si="5"/>
        <v>7009131</v>
      </c>
      <c r="T23" s="906">
        <f t="shared" si="6"/>
        <v>26.7857027916715</v>
      </c>
      <c r="U23" s="1152">
        <f t="shared" si="2"/>
        <v>0</v>
      </c>
      <c r="V23" s="1165">
        <f t="shared" si="3"/>
        <v>94.3970053119321</v>
      </c>
      <c r="W23" s="1158">
        <f t="shared" si="4"/>
        <v>6483506</v>
      </c>
    </row>
    <row r="24" spans="1:23" ht="24.75" customHeight="1" thickBot="1">
      <c r="A24" s="1125" t="s">
        <v>761</v>
      </c>
      <c r="B24" s="908" t="s">
        <v>694</v>
      </c>
      <c r="C24" s="909">
        <f t="shared" si="7"/>
        <v>12572904</v>
      </c>
      <c r="D24" s="910">
        <v>4552360</v>
      </c>
      <c r="E24" s="910">
        <v>8020544</v>
      </c>
      <c r="F24" s="911">
        <v>48004</v>
      </c>
      <c r="G24" s="911">
        <v>0</v>
      </c>
      <c r="H24" s="909">
        <f t="shared" si="8"/>
        <v>12524900</v>
      </c>
      <c r="I24" s="909">
        <f t="shared" si="9"/>
        <v>12008385</v>
      </c>
      <c r="J24" s="910">
        <v>447020</v>
      </c>
      <c r="K24" s="910">
        <v>1097931</v>
      </c>
      <c r="L24" s="910">
        <v>0</v>
      </c>
      <c r="M24" s="910">
        <v>9840461</v>
      </c>
      <c r="N24" s="910">
        <v>622973</v>
      </c>
      <c r="O24" s="910">
        <v>0</v>
      </c>
      <c r="P24" s="910">
        <v>0</v>
      </c>
      <c r="Q24" s="912">
        <v>0</v>
      </c>
      <c r="R24" s="1131">
        <v>516515</v>
      </c>
      <c r="S24" s="913">
        <f t="shared" si="5"/>
        <v>10979949</v>
      </c>
      <c r="T24" s="914">
        <f t="shared" si="6"/>
        <v>12.865601827389778</v>
      </c>
      <c r="U24" s="1152">
        <f t="shared" si="2"/>
        <v>0</v>
      </c>
      <c r="V24" s="1165">
        <f t="shared" si="3"/>
        <v>95.87609481912031</v>
      </c>
      <c r="W24" s="1158">
        <f t="shared" si="4"/>
        <v>10463434</v>
      </c>
    </row>
    <row r="25" spans="1:23" ht="23.25" customHeight="1" thickTop="1">
      <c r="A25" s="1126" t="s">
        <v>1</v>
      </c>
      <c r="B25" s="791" t="s">
        <v>19</v>
      </c>
      <c r="C25" s="792">
        <f aca="true" t="shared" si="10" ref="C25:R25">C26+C37+C42+C48+C53+C57+C60+C66+C71+C75</f>
        <v>1099036783</v>
      </c>
      <c r="D25" s="792">
        <f t="shared" si="10"/>
        <v>752336352</v>
      </c>
      <c r="E25" s="792">
        <f t="shared" si="10"/>
        <v>346700431</v>
      </c>
      <c r="F25" s="792">
        <f t="shared" si="10"/>
        <v>47946076</v>
      </c>
      <c r="G25" s="792">
        <f t="shared" si="10"/>
        <v>151204565</v>
      </c>
      <c r="H25" s="792">
        <f t="shared" si="10"/>
        <v>1051090707</v>
      </c>
      <c r="I25" s="792">
        <f t="shared" si="10"/>
        <v>797408116</v>
      </c>
      <c r="J25" s="792">
        <f t="shared" si="10"/>
        <v>125482476</v>
      </c>
      <c r="K25" s="792">
        <f t="shared" si="10"/>
        <v>189722253</v>
      </c>
      <c r="L25" s="792">
        <f t="shared" si="10"/>
        <v>32084</v>
      </c>
      <c r="M25" s="792">
        <f t="shared" si="10"/>
        <v>437664683</v>
      </c>
      <c r="N25" s="792">
        <f t="shared" si="10"/>
        <v>18433587</v>
      </c>
      <c r="O25" s="792">
        <f t="shared" si="10"/>
        <v>2853182</v>
      </c>
      <c r="P25" s="792">
        <f t="shared" si="10"/>
        <v>353094</v>
      </c>
      <c r="Q25" s="792">
        <f t="shared" si="10"/>
        <v>22866757</v>
      </c>
      <c r="R25" s="792">
        <f t="shared" si="10"/>
        <v>253682591</v>
      </c>
      <c r="S25" s="792">
        <f>S26+S37+S42+S48+S53+S57+S60+S66+S71+S75</f>
        <v>735853894</v>
      </c>
      <c r="T25" s="793">
        <f t="shared" si="6"/>
        <v>39.532681781733956</v>
      </c>
      <c r="U25" s="1152">
        <f t="shared" si="2"/>
        <v>0</v>
      </c>
      <c r="V25" s="1165">
        <f t="shared" si="3"/>
        <v>75.86482410028577</v>
      </c>
      <c r="W25" s="1158">
        <f t="shared" si="4"/>
        <v>482171303</v>
      </c>
    </row>
    <row r="26" spans="1:23" s="437" customFormat="1" ht="19.5" customHeight="1">
      <c r="A26" s="1123" t="s">
        <v>52</v>
      </c>
      <c r="B26" s="788" t="s">
        <v>695</v>
      </c>
      <c r="C26" s="786">
        <f>SUM(C27:C36)</f>
        <v>493985229</v>
      </c>
      <c r="D26" s="786">
        <f aca="true" t="shared" si="11" ref="D26:R26">SUM(D27:D36)</f>
        <v>395137259</v>
      </c>
      <c r="E26" s="786">
        <f t="shared" si="11"/>
        <v>98847970</v>
      </c>
      <c r="F26" s="786">
        <f t="shared" si="11"/>
        <v>11917956</v>
      </c>
      <c r="G26" s="786">
        <f t="shared" si="11"/>
        <v>91294098</v>
      </c>
      <c r="H26" s="786">
        <f t="shared" si="11"/>
        <v>482067273</v>
      </c>
      <c r="I26" s="786">
        <f t="shared" si="11"/>
        <v>457984105</v>
      </c>
      <c r="J26" s="786">
        <f t="shared" si="11"/>
        <v>41489563</v>
      </c>
      <c r="K26" s="786">
        <f t="shared" si="11"/>
        <v>169378136</v>
      </c>
      <c r="L26" s="786">
        <f t="shared" si="11"/>
        <v>17685</v>
      </c>
      <c r="M26" s="786">
        <f t="shared" si="11"/>
        <v>229055400</v>
      </c>
      <c r="N26" s="786">
        <f t="shared" si="11"/>
        <v>13917024</v>
      </c>
      <c r="O26" s="786">
        <f t="shared" si="11"/>
        <v>2839762</v>
      </c>
      <c r="P26" s="786">
        <f t="shared" si="11"/>
        <v>0</v>
      </c>
      <c r="Q26" s="786">
        <f t="shared" si="11"/>
        <v>1286535</v>
      </c>
      <c r="R26" s="786">
        <f t="shared" si="11"/>
        <v>24083168</v>
      </c>
      <c r="S26" s="789">
        <f>R26+Q26+P26+O26+N26+M26</f>
        <v>271181889</v>
      </c>
      <c r="T26" s="790">
        <f t="shared" si="6"/>
        <v>46.04644172094138</v>
      </c>
      <c r="U26" s="1152">
        <f t="shared" si="2"/>
        <v>0</v>
      </c>
      <c r="V26" s="1166">
        <f t="shared" si="3"/>
        <v>95.00418938416506</v>
      </c>
      <c r="W26" s="1167">
        <f t="shared" si="4"/>
        <v>247098721</v>
      </c>
    </row>
    <row r="27" spans="1:23" s="437" customFormat="1" ht="24.75" customHeight="1">
      <c r="A27" s="1124" t="s">
        <v>54</v>
      </c>
      <c r="B27" s="901" t="s">
        <v>696</v>
      </c>
      <c r="C27" s="786">
        <f>D27+E27</f>
        <v>21177933</v>
      </c>
      <c r="D27" s="1132">
        <f>15858723-6541160</f>
        <v>9317563</v>
      </c>
      <c r="E27" s="1132">
        <v>11860370</v>
      </c>
      <c r="F27" s="1133">
        <v>800</v>
      </c>
      <c r="G27" s="1133">
        <v>6541160</v>
      </c>
      <c r="H27" s="786">
        <f>I27+R27</f>
        <v>21177133</v>
      </c>
      <c r="I27" s="786">
        <f>J27+K27+L27+M27+N27+O27+P27+Q27</f>
        <v>21011696</v>
      </c>
      <c r="J27" s="1132">
        <v>2660453</v>
      </c>
      <c r="K27" s="1132">
        <v>4502200</v>
      </c>
      <c r="L27" s="1132"/>
      <c r="M27" s="1132">
        <v>9956860</v>
      </c>
      <c r="N27" s="1132">
        <v>3862133</v>
      </c>
      <c r="O27" s="1132">
        <v>30050</v>
      </c>
      <c r="P27" s="1132"/>
      <c r="Q27" s="1134">
        <v>0</v>
      </c>
      <c r="R27" s="1135">
        <v>165437</v>
      </c>
      <c r="S27" s="905">
        <f>R27+Q27+P27+O27+N27+M27</f>
        <v>14014480</v>
      </c>
      <c r="T27" s="906">
        <f t="shared" si="6"/>
        <v>34.088885542604466</v>
      </c>
      <c r="U27" s="1152">
        <f t="shared" si="2"/>
        <v>0</v>
      </c>
      <c r="V27" s="1165">
        <f t="shared" si="3"/>
        <v>99.21879415877494</v>
      </c>
      <c r="W27" s="1158">
        <f t="shared" si="4"/>
        <v>13849043</v>
      </c>
    </row>
    <row r="28" spans="1:23" s="437" customFormat="1" ht="24.75" customHeight="1">
      <c r="A28" s="1124" t="s">
        <v>55</v>
      </c>
      <c r="B28" s="901" t="s">
        <v>697</v>
      </c>
      <c r="C28" s="786">
        <f aca="true" t="shared" si="12" ref="C28:C77">D28+E28</f>
        <v>18926040</v>
      </c>
      <c r="D28" s="1132">
        <v>17774192</v>
      </c>
      <c r="E28" s="1132">
        <v>1151848</v>
      </c>
      <c r="F28" s="1133">
        <v>4736</v>
      </c>
      <c r="G28" s="1133"/>
      <c r="H28" s="786">
        <f aca="true" t="shared" si="13" ref="H28:H77">I28+R28</f>
        <v>18921304</v>
      </c>
      <c r="I28" s="786">
        <f aca="true" t="shared" si="14" ref="I28:I77">J28+K28+L28+M28+N28+O28+P28+Q28</f>
        <v>18607780</v>
      </c>
      <c r="J28" s="1132">
        <v>426717</v>
      </c>
      <c r="K28" s="1132">
        <v>98545</v>
      </c>
      <c r="L28" s="1132"/>
      <c r="M28" s="1132">
        <v>17547591</v>
      </c>
      <c r="N28" s="1132">
        <v>504000</v>
      </c>
      <c r="O28" s="1132">
        <v>30927</v>
      </c>
      <c r="P28" s="1132"/>
      <c r="Q28" s="1134">
        <v>0</v>
      </c>
      <c r="R28" s="1135">
        <v>313524</v>
      </c>
      <c r="S28" s="905">
        <f aca="true" t="shared" si="15" ref="S28:S36">R28+Q28+P28+O28+N28+M28</f>
        <v>18396042</v>
      </c>
      <c r="T28" s="906">
        <f t="shared" si="6"/>
        <v>2.8228085241764465</v>
      </c>
      <c r="U28" s="1152">
        <f t="shared" si="2"/>
        <v>0</v>
      </c>
      <c r="V28" s="1165">
        <f t="shared" si="3"/>
        <v>98.34301060857116</v>
      </c>
      <c r="W28" s="1158">
        <f t="shared" si="4"/>
        <v>18082518</v>
      </c>
    </row>
    <row r="29" spans="1:23" s="437" customFormat="1" ht="24.75" customHeight="1">
      <c r="A29" s="1124" t="s">
        <v>141</v>
      </c>
      <c r="B29" s="901" t="s">
        <v>698</v>
      </c>
      <c r="C29" s="786">
        <f t="shared" si="12"/>
        <v>287060104</v>
      </c>
      <c r="D29" s="1132">
        <v>256885624</v>
      </c>
      <c r="E29" s="1132">
        <v>30174480</v>
      </c>
      <c r="F29" s="1133"/>
      <c r="G29" s="1133"/>
      <c r="H29" s="786">
        <f t="shared" si="13"/>
        <v>287060104</v>
      </c>
      <c r="I29" s="786">
        <f t="shared" si="14"/>
        <v>286498051</v>
      </c>
      <c r="J29" s="1132">
        <v>1080716</v>
      </c>
      <c r="K29" s="1132">
        <v>155693579</v>
      </c>
      <c r="L29" s="1132"/>
      <c r="M29" s="1132">
        <v>121197057</v>
      </c>
      <c r="N29" s="1132">
        <v>7496699</v>
      </c>
      <c r="O29" s="1132">
        <v>1030000</v>
      </c>
      <c r="P29" s="1132"/>
      <c r="Q29" s="1134">
        <v>0</v>
      </c>
      <c r="R29" s="1135">
        <v>562053</v>
      </c>
      <c r="S29" s="905">
        <f t="shared" si="15"/>
        <v>130285809</v>
      </c>
      <c r="T29" s="906">
        <f t="shared" si="6"/>
        <v>54.720894069886704</v>
      </c>
      <c r="U29" s="1152">
        <f t="shared" si="2"/>
        <v>0</v>
      </c>
      <c r="V29" s="1165">
        <f t="shared" si="3"/>
        <v>99.80420372174045</v>
      </c>
      <c r="W29" s="1158">
        <f t="shared" si="4"/>
        <v>129723756</v>
      </c>
    </row>
    <row r="30" spans="1:23" s="437" customFormat="1" ht="24.75" customHeight="1">
      <c r="A30" s="1124" t="s">
        <v>143</v>
      </c>
      <c r="B30" s="901" t="s">
        <v>699</v>
      </c>
      <c r="C30" s="786">
        <f t="shared" si="12"/>
        <v>14841406</v>
      </c>
      <c r="D30" s="1132">
        <f>10017607-2776087</f>
        <v>7241520</v>
      </c>
      <c r="E30" s="1132">
        <v>7599886</v>
      </c>
      <c r="F30" s="1133">
        <v>573802</v>
      </c>
      <c r="G30" s="1133">
        <v>2776087</v>
      </c>
      <c r="H30" s="786">
        <f t="shared" si="13"/>
        <v>14267604</v>
      </c>
      <c r="I30" s="786">
        <f t="shared" si="14"/>
        <v>10938225</v>
      </c>
      <c r="J30" s="1132">
        <v>4123368</v>
      </c>
      <c r="K30" s="1132">
        <v>943900</v>
      </c>
      <c r="L30" s="1132">
        <v>6102</v>
      </c>
      <c r="M30" s="1132">
        <v>5864855</v>
      </c>
      <c r="N30" s="1132"/>
      <c r="O30" s="1132"/>
      <c r="P30" s="1132"/>
      <c r="Q30" s="1134">
        <v>0</v>
      </c>
      <c r="R30" s="1135">
        <v>3329379</v>
      </c>
      <c r="S30" s="905">
        <f t="shared" si="15"/>
        <v>9194234</v>
      </c>
      <c r="T30" s="906">
        <f t="shared" si="6"/>
        <v>46.38202267735396</v>
      </c>
      <c r="U30" s="1152">
        <f t="shared" si="2"/>
        <v>0</v>
      </c>
      <c r="V30" s="1165">
        <f t="shared" si="3"/>
        <v>76.66476445519514</v>
      </c>
      <c r="W30" s="1158">
        <f t="shared" si="4"/>
        <v>5864855</v>
      </c>
    </row>
    <row r="31" spans="1:23" s="437" customFormat="1" ht="24.75" customHeight="1">
      <c r="A31" s="1124" t="s">
        <v>145</v>
      </c>
      <c r="B31" s="901" t="s">
        <v>700</v>
      </c>
      <c r="C31" s="786">
        <f t="shared" si="12"/>
        <v>19116274</v>
      </c>
      <c r="D31" s="1132">
        <f>13696492-146000</f>
        <v>13550492</v>
      </c>
      <c r="E31" s="1132">
        <v>5565782</v>
      </c>
      <c r="F31" s="1133">
        <v>36000</v>
      </c>
      <c r="G31" s="1133">
        <v>146000</v>
      </c>
      <c r="H31" s="786">
        <f t="shared" si="13"/>
        <v>19080274</v>
      </c>
      <c r="I31" s="786">
        <f t="shared" si="14"/>
        <v>9057839</v>
      </c>
      <c r="J31" s="1132">
        <v>2586253</v>
      </c>
      <c r="K31" s="1132">
        <f>293613-6135</f>
        <v>287478</v>
      </c>
      <c r="L31" s="1132">
        <v>6135</v>
      </c>
      <c r="M31" s="1132">
        <v>4891438</v>
      </c>
      <c r="N31" s="1132">
        <v>0</v>
      </c>
      <c r="O31" s="1132"/>
      <c r="P31" s="1132"/>
      <c r="Q31" s="1134">
        <v>1286535</v>
      </c>
      <c r="R31" s="1135">
        <v>10022435</v>
      </c>
      <c r="S31" s="905">
        <f t="shared" si="15"/>
        <v>16200408</v>
      </c>
      <c r="T31" s="906">
        <f t="shared" si="6"/>
        <v>31.794184021155598</v>
      </c>
      <c r="U31" s="1152">
        <f t="shared" si="2"/>
        <v>0</v>
      </c>
      <c r="V31" s="1165">
        <f t="shared" si="3"/>
        <v>47.4722690041034</v>
      </c>
      <c r="W31" s="1158">
        <f t="shared" si="4"/>
        <v>6177973</v>
      </c>
    </row>
    <row r="32" spans="1:23" s="437" customFormat="1" ht="24.75" customHeight="1">
      <c r="A32" s="1124" t="s">
        <v>147</v>
      </c>
      <c r="B32" s="901" t="s">
        <v>701</v>
      </c>
      <c r="C32" s="786">
        <f t="shared" si="12"/>
        <v>53738626</v>
      </c>
      <c r="D32" s="1132">
        <f>51007359-8485070</f>
        <v>42522289</v>
      </c>
      <c r="E32" s="1132">
        <v>11216337</v>
      </c>
      <c r="F32" s="1133">
        <v>351750</v>
      </c>
      <c r="G32" s="1133">
        <v>8485070</v>
      </c>
      <c r="H32" s="786">
        <f t="shared" si="13"/>
        <v>53386876</v>
      </c>
      <c r="I32" s="786">
        <f t="shared" si="14"/>
        <v>45568264</v>
      </c>
      <c r="J32" s="1132">
        <v>9615902</v>
      </c>
      <c r="K32" s="1132">
        <v>5214871</v>
      </c>
      <c r="L32" s="1132">
        <v>5448</v>
      </c>
      <c r="M32" s="1132">
        <v>29015396</v>
      </c>
      <c r="N32" s="1132">
        <v>0</v>
      </c>
      <c r="O32" s="1132">
        <v>1716647</v>
      </c>
      <c r="P32" s="1132"/>
      <c r="Q32" s="1134">
        <v>0</v>
      </c>
      <c r="R32" s="1135">
        <v>7818612</v>
      </c>
      <c r="S32" s="905">
        <f t="shared" si="15"/>
        <v>38550655</v>
      </c>
      <c r="T32" s="906">
        <f t="shared" si="6"/>
        <v>32.55823175532866</v>
      </c>
      <c r="U32" s="1152">
        <f t="shared" si="2"/>
        <v>0</v>
      </c>
      <c r="V32" s="1165">
        <f t="shared" si="3"/>
        <v>85.35480517721247</v>
      </c>
      <c r="W32" s="1158">
        <f t="shared" si="4"/>
        <v>30732043</v>
      </c>
    </row>
    <row r="33" spans="1:23" s="437" customFormat="1" ht="24.75" customHeight="1">
      <c r="A33" s="1124" t="s">
        <v>149</v>
      </c>
      <c r="B33" s="901" t="s">
        <v>702</v>
      </c>
      <c r="C33" s="786">
        <f t="shared" si="12"/>
        <v>17179327</v>
      </c>
      <c r="D33" s="1132">
        <f>80512223-73089531</f>
        <v>7422692</v>
      </c>
      <c r="E33" s="1132">
        <v>9756635</v>
      </c>
      <c r="F33" s="1133">
        <v>1100</v>
      </c>
      <c r="G33" s="1133">
        <v>73089531</v>
      </c>
      <c r="H33" s="786">
        <f t="shared" si="13"/>
        <v>17178227</v>
      </c>
      <c r="I33" s="786">
        <f t="shared" si="14"/>
        <v>16761143</v>
      </c>
      <c r="J33" s="1132">
        <v>5105612</v>
      </c>
      <c r="K33" s="1132">
        <v>665257</v>
      </c>
      <c r="L33" s="1132"/>
      <c r="M33" s="1132">
        <v>10958136</v>
      </c>
      <c r="N33" s="1132"/>
      <c r="O33" s="1132">
        <v>32138</v>
      </c>
      <c r="P33" s="1132"/>
      <c r="Q33" s="1134">
        <v>0</v>
      </c>
      <c r="R33" s="1135">
        <v>417084</v>
      </c>
      <c r="S33" s="905">
        <f t="shared" si="15"/>
        <v>11407358</v>
      </c>
      <c r="T33" s="906">
        <f t="shared" si="6"/>
        <v>34.43004453813204</v>
      </c>
      <c r="U33" s="1152">
        <f t="shared" si="2"/>
        <v>0</v>
      </c>
      <c r="V33" s="1165">
        <f t="shared" si="3"/>
        <v>97.57201951051177</v>
      </c>
      <c r="W33" s="1158">
        <f t="shared" si="4"/>
        <v>10990274</v>
      </c>
    </row>
    <row r="34" spans="1:23" s="437" customFormat="1" ht="24.75" customHeight="1">
      <c r="A34" s="1124" t="s">
        <v>186</v>
      </c>
      <c r="B34" s="901" t="s">
        <v>703</v>
      </c>
      <c r="C34" s="786">
        <f t="shared" si="12"/>
        <v>34361781</v>
      </c>
      <c r="D34" s="1132">
        <v>20502060</v>
      </c>
      <c r="E34" s="1132">
        <v>13859721</v>
      </c>
      <c r="F34" s="1133">
        <v>10666819</v>
      </c>
      <c r="G34" s="1133"/>
      <c r="H34" s="786">
        <f t="shared" si="13"/>
        <v>23694962</v>
      </c>
      <c r="I34" s="786">
        <f t="shared" si="14"/>
        <v>23569896</v>
      </c>
      <c r="J34" s="1132">
        <f>7993987-54190</f>
        <v>7939797</v>
      </c>
      <c r="K34" s="1132">
        <v>292883</v>
      </c>
      <c r="L34" s="1132"/>
      <c r="M34" s="1132">
        <v>15337216</v>
      </c>
      <c r="N34" s="1132"/>
      <c r="O34" s="1132"/>
      <c r="P34" s="1132"/>
      <c r="Q34" s="1134">
        <v>0</v>
      </c>
      <c r="R34" s="1135">
        <v>125066</v>
      </c>
      <c r="S34" s="905">
        <f t="shared" si="15"/>
        <v>15462282</v>
      </c>
      <c r="T34" s="906">
        <f t="shared" si="6"/>
        <v>34.92879221868437</v>
      </c>
      <c r="U34" s="1152">
        <f t="shared" si="2"/>
        <v>0</v>
      </c>
      <c r="V34" s="1165">
        <f t="shared" si="3"/>
        <v>99.47218315859718</v>
      </c>
      <c r="W34" s="1158">
        <f t="shared" si="4"/>
        <v>15337216</v>
      </c>
    </row>
    <row r="35" spans="1:23" s="437" customFormat="1" ht="24.75" customHeight="1">
      <c r="A35" s="1124" t="s">
        <v>573</v>
      </c>
      <c r="B35" s="901" t="s">
        <v>704</v>
      </c>
      <c r="C35" s="786">
        <f t="shared" si="12"/>
        <v>22008686</v>
      </c>
      <c r="D35" s="1132">
        <f>18342974-256250</f>
        <v>18086724</v>
      </c>
      <c r="E35" s="1132">
        <v>3921962</v>
      </c>
      <c r="F35" s="1133">
        <v>43400</v>
      </c>
      <c r="G35" s="1133">
        <v>256250</v>
      </c>
      <c r="H35" s="786">
        <f t="shared" si="13"/>
        <v>21965286</v>
      </c>
      <c r="I35" s="786">
        <f t="shared" si="14"/>
        <v>21662600</v>
      </c>
      <c r="J35" s="1132">
        <v>6105465</v>
      </c>
      <c r="K35" s="1132">
        <v>1445322</v>
      </c>
      <c r="L35" s="1132"/>
      <c r="M35" s="1132">
        <v>12057621</v>
      </c>
      <c r="N35" s="1132">
        <v>2054192</v>
      </c>
      <c r="O35" s="1132"/>
      <c r="P35" s="1132"/>
      <c r="Q35" s="1134">
        <v>0</v>
      </c>
      <c r="R35" s="1135">
        <v>302686</v>
      </c>
      <c r="S35" s="905">
        <f t="shared" si="15"/>
        <v>14414499</v>
      </c>
      <c r="T35" s="906">
        <f t="shared" si="6"/>
        <v>34.856328418564715</v>
      </c>
      <c r="U35" s="1152">
        <f t="shared" si="2"/>
        <v>0</v>
      </c>
      <c r="V35" s="1165">
        <f t="shared" si="3"/>
        <v>98.62198015541432</v>
      </c>
      <c r="W35" s="1158">
        <f t="shared" si="4"/>
        <v>14111813</v>
      </c>
    </row>
    <row r="36" spans="1:23" s="437" customFormat="1" ht="24.75" customHeight="1" thickBot="1">
      <c r="A36" s="1125" t="s">
        <v>705</v>
      </c>
      <c r="B36" s="1136" t="s">
        <v>706</v>
      </c>
      <c r="C36" s="909">
        <f t="shared" si="12"/>
        <v>5575052</v>
      </c>
      <c r="D36" s="1137">
        <v>1834103</v>
      </c>
      <c r="E36" s="1137">
        <v>3740949</v>
      </c>
      <c r="F36" s="1138">
        <v>239549</v>
      </c>
      <c r="G36" s="1138"/>
      <c r="H36" s="909">
        <f t="shared" si="13"/>
        <v>5335503</v>
      </c>
      <c r="I36" s="909">
        <f t="shared" si="14"/>
        <v>4308611</v>
      </c>
      <c r="J36" s="1137">
        <v>1845280</v>
      </c>
      <c r="K36" s="1137">
        <v>234101</v>
      </c>
      <c r="L36" s="1137"/>
      <c r="M36" s="1137">
        <v>2229230</v>
      </c>
      <c r="N36" s="1137"/>
      <c r="O36" s="1137"/>
      <c r="P36" s="1137"/>
      <c r="Q36" s="1139"/>
      <c r="R36" s="1140">
        <v>1026892</v>
      </c>
      <c r="S36" s="913">
        <f t="shared" si="15"/>
        <v>3256122</v>
      </c>
      <c r="T36" s="914">
        <f t="shared" si="6"/>
        <v>48.26105211168982</v>
      </c>
      <c r="U36" s="1152">
        <f t="shared" si="2"/>
        <v>0</v>
      </c>
      <c r="V36" s="1165">
        <f t="shared" si="3"/>
        <v>80.75360467419847</v>
      </c>
      <c r="W36" s="1158">
        <f t="shared" si="4"/>
        <v>2229230</v>
      </c>
    </row>
    <row r="37" spans="1:23" s="437" customFormat="1" ht="22.5" customHeight="1" thickTop="1">
      <c r="A37" s="1126" t="s">
        <v>53</v>
      </c>
      <c r="B37" s="791" t="s">
        <v>707</v>
      </c>
      <c r="C37" s="792">
        <f>SUM(C38:C41)</f>
        <v>111534965</v>
      </c>
      <c r="D37" s="792">
        <f aca="true" t="shared" si="16" ref="D37:R37">SUM(D38:D41)</f>
        <v>74750283</v>
      </c>
      <c r="E37" s="792">
        <f t="shared" si="16"/>
        <v>36784682</v>
      </c>
      <c r="F37" s="792">
        <f t="shared" si="16"/>
        <v>1306806</v>
      </c>
      <c r="G37" s="792">
        <f t="shared" si="16"/>
        <v>13230542</v>
      </c>
      <c r="H37" s="792">
        <f t="shared" si="16"/>
        <v>110228159</v>
      </c>
      <c r="I37" s="792">
        <f t="shared" si="16"/>
        <v>60745565</v>
      </c>
      <c r="J37" s="792">
        <f t="shared" si="16"/>
        <v>20171761</v>
      </c>
      <c r="K37" s="792">
        <f t="shared" si="16"/>
        <v>1191351</v>
      </c>
      <c r="L37" s="792">
        <f t="shared" si="16"/>
        <v>0</v>
      </c>
      <c r="M37" s="792">
        <f t="shared" si="16"/>
        <v>17790406</v>
      </c>
      <c r="N37" s="792">
        <f t="shared" si="16"/>
        <v>313800</v>
      </c>
      <c r="O37" s="792">
        <f t="shared" si="16"/>
        <v>0</v>
      </c>
      <c r="P37" s="792">
        <f t="shared" si="16"/>
        <v>0</v>
      </c>
      <c r="Q37" s="792">
        <f t="shared" si="16"/>
        <v>21278247</v>
      </c>
      <c r="R37" s="792">
        <f t="shared" si="16"/>
        <v>49482594</v>
      </c>
      <c r="S37" s="794">
        <f aca="true" t="shared" si="17" ref="S37:S77">R37+Q37+P37+O37+N37+M37</f>
        <v>88865047</v>
      </c>
      <c r="T37" s="793">
        <f t="shared" si="6"/>
        <v>35.16818388305385</v>
      </c>
      <c r="U37" s="1152">
        <f t="shared" si="2"/>
        <v>0</v>
      </c>
      <c r="V37" s="1166">
        <f t="shared" si="3"/>
        <v>55.10893545813461</v>
      </c>
      <c r="W37" s="1167">
        <f t="shared" si="4"/>
        <v>39382453</v>
      </c>
    </row>
    <row r="38" spans="1:23" s="437" customFormat="1" ht="24.75" customHeight="1">
      <c r="A38" s="1127">
        <v>2.1</v>
      </c>
      <c r="B38" s="1141" t="s">
        <v>708</v>
      </c>
      <c r="C38" s="786">
        <f t="shared" si="12"/>
        <v>63773593</v>
      </c>
      <c r="D38" s="902">
        <f>59325367-1996308</f>
        <v>57329059</v>
      </c>
      <c r="E38" s="902">
        <v>6444534</v>
      </c>
      <c r="F38" s="903">
        <v>13030</v>
      </c>
      <c r="G38" s="903">
        <v>1996308</v>
      </c>
      <c r="H38" s="786">
        <f t="shared" si="13"/>
        <v>63760563</v>
      </c>
      <c r="I38" s="786">
        <f t="shared" si="14"/>
        <v>34542265</v>
      </c>
      <c r="J38" s="902">
        <v>11995071</v>
      </c>
      <c r="K38" s="902">
        <v>311391</v>
      </c>
      <c r="L38" s="902">
        <v>0</v>
      </c>
      <c r="M38" s="902">
        <v>7789090</v>
      </c>
      <c r="N38" s="902">
        <v>4436</v>
      </c>
      <c r="O38" s="902">
        <v>0</v>
      </c>
      <c r="P38" s="902">
        <v>0</v>
      </c>
      <c r="Q38" s="904">
        <v>14442277</v>
      </c>
      <c r="R38" s="1130">
        <v>29218298</v>
      </c>
      <c r="S38" s="905">
        <f t="shared" si="17"/>
        <v>51454101</v>
      </c>
      <c r="T38" s="906">
        <f t="shared" si="6"/>
        <v>35.62725837463178</v>
      </c>
      <c r="U38" s="1152">
        <f t="shared" si="2"/>
        <v>0</v>
      </c>
      <c r="V38" s="1165">
        <f t="shared" si="3"/>
        <v>54.17496862441443</v>
      </c>
      <c r="W38" s="1158">
        <f t="shared" si="4"/>
        <v>22235803</v>
      </c>
    </row>
    <row r="39" spans="1:23" s="437" customFormat="1" ht="24.75" customHeight="1">
      <c r="A39" s="1127">
        <v>2.2</v>
      </c>
      <c r="B39" s="901" t="s">
        <v>709</v>
      </c>
      <c r="C39" s="786">
        <f t="shared" si="12"/>
        <v>22608517</v>
      </c>
      <c r="D39" s="902">
        <f>11766936-2469116</f>
        <v>9297820</v>
      </c>
      <c r="E39" s="902">
        <v>13310697</v>
      </c>
      <c r="F39" s="903">
        <v>10400</v>
      </c>
      <c r="G39" s="903">
        <v>2469116</v>
      </c>
      <c r="H39" s="786">
        <f t="shared" si="13"/>
        <v>22598117</v>
      </c>
      <c r="I39" s="786">
        <f t="shared" si="14"/>
        <v>12423769</v>
      </c>
      <c r="J39" s="902">
        <v>3437503</v>
      </c>
      <c r="K39" s="902">
        <v>611822</v>
      </c>
      <c r="L39" s="902">
        <v>0</v>
      </c>
      <c r="M39" s="902">
        <v>2102724</v>
      </c>
      <c r="N39" s="902">
        <v>13500</v>
      </c>
      <c r="O39" s="902">
        <v>0</v>
      </c>
      <c r="P39" s="902">
        <v>0</v>
      </c>
      <c r="Q39" s="904">
        <v>6258220</v>
      </c>
      <c r="R39" s="1130">
        <v>10174348</v>
      </c>
      <c r="S39" s="905">
        <f t="shared" si="17"/>
        <v>18548792</v>
      </c>
      <c r="T39" s="906">
        <f t="shared" si="6"/>
        <v>32.593370015170116</v>
      </c>
      <c r="U39" s="1152">
        <f t="shared" si="2"/>
        <v>0</v>
      </c>
      <c r="V39" s="1165">
        <f t="shared" si="3"/>
        <v>54.97700981015365</v>
      </c>
      <c r="W39" s="1158">
        <f t="shared" si="4"/>
        <v>8374444</v>
      </c>
    </row>
    <row r="40" spans="1:23" s="437" customFormat="1" ht="24.75" customHeight="1">
      <c r="A40" s="1127">
        <v>2.3</v>
      </c>
      <c r="B40" s="901" t="s">
        <v>710</v>
      </c>
      <c r="C40" s="786">
        <f t="shared" si="12"/>
        <v>4383276</v>
      </c>
      <c r="D40" s="902">
        <f>3890218-722754</f>
        <v>3167464</v>
      </c>
      <c r="E40" s="902">
        <v>1215812</v>
      </c>
      <c r="F40" s="903">
        <v>3070</v>
      </c>
      <c r="G40" s="903">
        <v>722754</v>
      </c>
      <c r="H40" s="786">
        <f t="shared" si="13"/>
        <v>4380206</v>
      </c>
      <c r="I40" s="786">
        <f t="shared" si="14"/>
        <v>3119916</v>
      </c>
      <c r="J40" s="902">
        <v>524925</v>
      </c>
      <c r="K40" s="902">
        <v>60700</v>
      </c>
      <c r="L40" s="902">
        <v>0</v>
      </c>
      <c r="M40" s="902">
        <v>2534291</v>
      </c>
      <c r="N40" s="902">
        <v>0</v>
      </c>
      <c r="O40" s="902">
        <v>0</v>
      </c>
      <c r="P40" s="902">
        <v>0</v>
      </c>
      <c r="Q40" s="904">
        <v>0</v>
      </c>
      <c r="R40" s="1130">
        <v>1260290</v>
      </c>
      <c r="S40" s="905">
        <f t="shared" si="17"/>
        <v>3794581</v>
      </c>
      <c r="T40" s="906">
        <f t="shared" si="6"/>
        <v>18.77053741190468</v>
      </c>
      <c r="U40" s="1152">
        <f t="shared" si="2"/>
        <v>0</v>
      </c>
      <c r="V40" s="1165">
        <f t="shared" si="3"/>
        <v>71.22760892980833</v>
      </c>
      <c r="W40" s="1158">
        <f t="shared" si="4"/>
        <v>2534291</v>
      </c>
    </row>
    <row r="41" spans="1:23" s="437" customFormat="1" ht="24.75" customHeight="1" thickBot="1">
      <c r="A41" s="1128">
        <v>2.4</v>
      </c>
      <c r="B41" s="1142" t="s">
        <v>711</v>
      </c>
      <c r="C41" s="909">
        <f t="shared" si="12"/>
        <v>20769579</v>
      </c>
      <c r="D41" s="910">
        <f>4955940</f>
        <v>4955940</v>
      </c>
      <c r="E41" s="910">
        <f>23856003-8042364</f>
        <v>15813639</v>
      </c>
      <c r="F41" s="911">
        <v>1280306</v>
      </c>
      <c r="G41" s="911">
        <v>8042364</v>
      </c>
      <c r="H41" s="909">
        <f t="shared" si="13"/>
        <v>19489273</v>
      </c>
      <c r="I41" s="909">
        <f t="shared" si="14"/>
        <v>10659615</v>
      </c>
      <c r="J41" s="910">
        <v>4214262</v>
      </c>
      <c r="K41" s="910">
        <v>207438</v>
      </c>
      <c r="L41" s="910">
        <v>0</v>
      </c>
      <c r="M41" s="910">
        <v>5364301</v>
      </c>
      <c r="N41" s="910">
        <v>295864</v>
      </c>
      <c r="O41" s="910">
        <v>0</v>
      </c>
      <c r="P41" s="910">
        <v>0</v>
      </c>
      <c r="Q41" s="912">
        <v>577750</v>
      </c>
      <c r="R41" s="1131">
        <v>8829658</v>
      </c>
      <c r="S41" s="913">
        <f t="shared" si="17"/>
        <v>15067573</v>
      </c>
      <c r="T41" s="914">
        <f t="shared" si="6"/>
        <v>41.4808602374476</v>
      </c>
      <c r="U41" s="1152">
        <f t="shared" si="2"/>
        <v>0</v>
      </c>
      <c r="V41" s="1165">
        <f t="shared" si="3"/>
        <v>54.694780046438886</v>
      </c>
      <c r="W41" s="1158">
        <f t="shared" si="4"/>
        <v>6237915</v>
      </c>
    </row>
    <row r="42" spans="1:23" s="437" customFormat="1" ht="21.75" customHeight="1" thickTop="1">
      <c r="A42" s="1126" t="s">
        <v>58</v>
      </c>
      <c r="B42" s="791" t="s">
        <v>712</v>
      </c>
      <c r="C42" s="792">
        <f aca="true" t="shared" si="18" ref="C42:R42">SUM(C43:C47)</f>
        <v>86816100</v>
      </c>
      <c r="D42" s="792">
        <f t="shared" si="18"/>
        <v>41236679</v>
      </c>
      <c r="E42" s="792">
        <f t="shared" si="18"/>
        <v>45579421</v>
      </c>
      <c r="F42" s="792">
        <f t="shared" si="18"/>
        <v>5872586</v>
      </c>
      <c r="G42" s="792">
        <f t="shared" si="18"/>
        <v>0</v>
      </c>
      <c r="H42" s="792">
        <f t="shared" si="18"/>
        <v>80943514</v>
      </c>
      <c r="I42" s="792">
        <f t="shared" si="18"/>
        <v>49822477</v>
      </c>
      <c r="J42" s="792">
        <f>SUM(J43:J47)</f>
        <v>15383005</v>
      </c>
      <c r="K42" s="792">
        <f t="shared" si="18"/>
        <v>4426315</v>
      </c>
      <c r="L42" s="792">
        <f t="shared" si="18"/>
        <v>5609</v>
      </c>
      <c r="M42" s="792">
        <f t="shared" si="18"/>
        <v>27098411</v>
      </c>
      <c r="N42" s="792">
        <f t="shared" si="18"/>
        <v>2419787</v>
      </c>
      <c r="O42" s="792">
        <f t="shared" si="18"/>
        <v>13420</v>
      </c>
      <c r="P42" s="792">
        <f t="shared" si="18"/>
        <v>353094</v>
      </c>
      <c r="Q42" s="792">
        <f t="shared" si="18"/>
        <v>122836</v>
      </c>
      <c r="R42" s="792">
        <f t="shared" si="18"/>
        <v>31121037</v>
      </c>
      <c r="S42" s="794">
        <f t="shared" si="17"/>
        <v>61128585</v>
      </c>
      <c r="T42" s="793">
        <f t="shared" si="6"/>
        <v>39.771063570364035</v>
      </c>
      <c r="U42" s="1152">
        <f t="shared" si="2"/>
        <v>0</v>
      </c>
      <c r="V42" s="1166">
        <f t="shared" si="3"/>
        <v>61.552154753251756</v>
      </c>
      <c r="W42" s="1167">
        <f t="shared" si="4"/>
        <v>30007548</v>
      </c>
    </row>
    <row r="43" spans="1:23" s="437" customFormat="1" ht="24.75" customHeight="1">
      <c r="A43" s="1127">
        <v>3.1</v>
      </c>
      <c r="B43" s="1143" t="s">
        <v>713</v>
      </c>
      <c r="C43" s="786">
        <f t="shared" si="12"/>
        <v>27171518</v>
      </c>
      <c r="D43" s="1144">
        <v>7954551</v>
      </c>
      <c r="E43" s="1144">
        <v>19216967</v>
      </c>
      <c r="F43" s="1145">
        <v>257785</v>
      </c>
      <c r="G43" s="1146">
        <v>0</v>
      </c>
      <c r="H43" s="786">
        <f t="shared" si="13"/>
        <v>26913733</v>
      </c>
      <c r="I43" s="786">
        <f t="shared" si="14"/>
        <v>19440724</v>
      </c>
      <c r="J43" s="1144">
        <v>3509703</v>
      </c>
      <c r="K43" s="1144">
        <v>2825354</v>
      </c>
      <c r="L43" s="1144">
        <v>0</v>
      </c>
      <c r="M43" s="1144">
        <v>10730687</v>
      </c>
      <c r="N43" s="1144">
        <v>2364602</v>
      </c>
      <c r="O43" s="1144">
        <v>0</v>
      </c>
      <c r="P43" s="1144">
        <v>0</v>
      </c>
      <c r="Q43" s="1144">
        <v>10378</v>
      </c>
      <c r="R43" s="1147">
        <v>7473009</v>
      </c>
      <c r="S43" s="905">
        <f t="shared" si="17"/>
        <v>20578676</v>
      </c>
      <c r="T43" s="906">
        <f t="shared" si="6"/>
        <v>32.58652815605016</v>
      </c>
      <c r="U43" s="1152">
        <f t="shared" si="2"/>
        <v>0</v>
      </c>
      <c r="V43" s="1165">
        <f t="shared" si="3"/>
        <v>72.23347277763364</v>
      </c>
      <c r="W43" s="1158">
        <f t="shared" si="4"/>
        <v>13105667</v>
      </c>
    </row>
    <row r="44" spans="1:23" s="437" customFormat="1" ht="24.75" customHeight="1">
      <c r="A44" s="1127">
        <v>3.2</v>
      </c>
      <c r="B44" s="1148" t="s">
        <v>714</v>
      </c>
      <c r="C44" s="786">
        <f t="shared" si="12"/>
        <v>13757998</v>
      </c>
      <c r="D44" s="1144">
        <f>9058404-16854</f>
        <v>9041550</v>
      </c>
      <c r="E44" s="1144">
        <f>4699594+16854</f>
        <v>4716448</v>
      </c>
      <c r="F44" s="1145">
        <v>200</v>
      </c>
      <c r="G44" s="1146">
        <v>0</v>
      </c>
      <c r="H44" s="786">
        <f t="shared" si="13"/>
        <v>13757798</v>
      </c>
      <c r="I44" s="786">
        <f t="shared" si="14"/>
        <v>6850885</v>
      </c>
      <c r="J44" s="1144">
        <v>2228488</v>
      </c>
      <c r="K44" s="1144">
        <v>392679</v>
      </c>
      <c r="L44" s="1144">
        <v>0</v>
      </c>
      <c r="M44" s="1144">
        <f>4216298</f>
        <v>4216298</v>
      </c>
      <c r="N44" s="1144">
        <v>0</v>
      </c>
      <c r="O44" s="1144">
        <v>13420</v>
      </c>
      <c r="P44" s="1144">
        <v>0</v>
      </c>
      <c r="Q44" s="1144">
        <v>0</v>
      </c>
      <c r="R44" s="1147">
        <f>6906913</f>
        <v>6906913</v>
      </c>
      <c r="S44" s="905">
        <f t="shared" si="17"/>
        <v>11136631</v>
      </c>
      <c r="T44" s="906">
        <f t="shared" si="6"/>
        <v>38.26026856384248</v>
      </c>
      <c r="U44" s="1152">
        <f t="shared" si="2"/>
        <v>0</v>
      </c>
      <c r="V44" s="1165">
        <f t="shared" si="3"/>
        <v>49.796377298169375</v>
      </c>
      <c r="W44" s="1158">
        <f t="shared" si="4"/>
        <v>4229718</v>
      </c>
    </row>
    <row r="45" spans="1:23" s="437" customFormat="1" ht="24.75" customHeight="1">
      <c r="A45" s="1127">
        <v>3.3</v>
      </c>
      <c r="B45" s="1148" t="s">
        <v>721</v>
      </c>
      <c r="C45" s="786">
        <f t="shared" si="12"/>
        <v>12781700</v>
      </c>
      <c r="D45" s="1144">
        <v>3379855</v>
      </c>
      <c r="E45" s="1144">
        <v>9401845</v>
      </c>
      <c r="F45" s="1145">
        <v>232350</v>
      </c>
      <c r="G45" s="1146">
        <v>0</v>
      </c>
      <c r="H45" s="786">
        <f t="shared" si="13"/>
        <v>12549350</v>
      </c>
      <c r="I45" s="786">
        <f t="shared" si="14"/>
        <v>5729615</v>
      </c>
      <c r="J45" s="1144">
        <v>2005392</v>
      </c>
      <c r="K45" s="1144">
        <v>362696</v>
      </c>
      <c r="L45" s="1144">
        <v>1906</v>
      </c>
      <c r="M45" s="1144">
        <f>3359621</f>
        <v>3359621</v>
      </c>
      <c r="N45" s="1144">
        <v>0</v>
      </c>
      <c r="O45" s="1144">
        <v>0</v>
      </c>
      <c r="P45" s="1144">
        <v>0</v>
      </c>
      <c r="Q45" s="1144">
        <v>0</v>
      </c>
      <c r="R45" s="1147">
        <v>6819735</v>
      </c>
      <c r="S45" s="905">
        <f t="shared" si="17"/>
        <v>10179356</v>
      </c>
      <c r="T45" s="906">
        <f t="shared" si="6"/>
        <v>41.36393108437478</v>
      </c>
      <c r="U45" s="1152">
        <f t="shared" si="2"/>
        <v>0</v>
      </c>
      <c r="V45" s="1165">
        <f t="shared" si="3"/>
        <v>45.65666747680159</v>
      </c>
      <c r="W45" s="1158">
        <f t="shared" si="4"/>
        <v>3359621</v>
      </c>
    </row>
    <row r="46" spans="1:23" s="437" customFormat="1" ht="24.75" customHeight="1">
      <c r="A46" s="1127">
        <v>3.4</v>
      </c>
      <c r="B46" s="1149" t="s">
        <v>716</v>
      </c>
      <c r="C46" s="786">
        <f t="shared" si="12"/>
        <v>20048954</v>
      </c>
      <c r="D46" s="1144">
        <v>14427558</v>
      </c>
      <c r="E46" s="1144">
        <f>5621468-72</f>
        <v>5621396</v>
      </c>
      <c r="F46" s="1145">
        <v>5382051</v>
      </c>
      <c r="G46" s="1146">
        <v>0</v>
      </c>
      <c r="H46" s="786">
        <f t="shared" si="13"/>
        <v>14666903</v>
      </c>
      <c r="I46" s="786">
        <f t="shared" si="14"/>
        <v>9493142</v>
      </c>
      <c r="J46" s="1144">
        <v>5038668</v>
      </c>
      <c r="K46" s="1144">
        <f>694442-3703</f>
        <v>690739</v>
      </c>
      <c r="L46" s="1144">
        <v>3703</v>
      </c>
      <c r="M46" s="1144">
        <v>3704847</v>
      </c>
      <c r="N46" s="1144">
        <v>55185</v>
      </c>
      <c r="O46" s="1144">
        <v>0</v>
      </c>
      <c r="P46" s="1144">
        <v>0</v>
      </c>
      <c r="Q46" s="1144">
        <v>0</v>
      </c>
      <c r="R46" s="1147">
        <v>5173761</v>
      </c>
      <c r="S46" s="905">
        <f t="shared" si="17"/>
        <v>8933793</v>
      </c>
      <c r="T46" s="906">
        <f t="shared" si="6"/>
        <v>60.39212307158157</v>
      </c>
      <c r="U46" s="1152">
        <f t="shared" si="2"/>
        <v>0</v>
      </c>
      <c r="V46" s="1165">
        <f t="shared" si="3"/>
        <v>64.7249252279094</v>
      </c>
      <c r="W46" s="1158">
        <f t="shared" si="4"/>
        <v>3760032</v>
      </c>
    </row>
    <row r="47" spans="1:23" s="437" customFormat="1" ht="24.75" customHeight="1" thickBot="1">
      <c r="A47" s="1128">
        <v>3.5</v>
      </c>
      <c r="B47" s="915" t="s">
        <v>717</v>
      </c>
      <c r="C47" s="909">
        <f t="shared" si="12"/>
        <v>13055930</v>
      </c>
      <c r="D47" s="1137">
        <v>6433165</v>
      </c>
      <c r="E47" s="1137">
        <f>6622765</f>
        <v>6622765</v>
      </c>
      <c r="F47" s="1138">
        <v>200</v>
      </c>
      <c r="G47" s="911">
        <v>0</v>
      </c>
      <c r="H47" s="909">
        <f t="shared" si="13"/>
        <v>13055730</v>
      </c>
      <c r="I47" s="909">
        <f t="shared" si="14"/>
        <v>8308111</v>
      </c>
      <c r="J47" s="1137">
        <f>2663142-62388</f>
        <v>2600754</v>
      </c>
      <c r="K47" s="1137">
        <f>154947-100</f>
        <v>154847</v>
      </c>
      <c r="L47" s="1137">
        <v>0</v>
      </c>
      <c r="M47" s="1137">
        <f>5024470+62388+100</f>
        <v>5086958</v>
      </c>
      <c r="N47" s="1137">
        <v>0</v>
      </c>
      <c r="O47" s="1137">
        <v>0</v>
      </c>
      <c r="P47" s="1137">
        <v>353094</v>
      </c>
      <c r="Q47" s="1137">
        <v>112458</v>
      </c>
      <c r="R47" s="1150">
        <v>4747619</v>
      </c>
      <c r="S47" s="913">
        <f t="shared" si="17"/>
        <v>10300129</v>
      </c>
      <c r="T47" s="914">
        <f t="shared" si="6"/>
        <v>33.16759971069236</v>
      </c>
      <c r="U47" s="1152">
        <f t="shared" si="2"/>
        <v>0</v>
      </c>
      <c r="V47" s="1165">
        <f t="shared" si="3"/>
        <v>63.63574461175284</v>
      </c>
      <c r="W47" s="1158">
        <f t="shared" si="4"/>
        <v>5552510</v>
      </c>
    </row>
    <row r="48" spans="1:23" s="437" customFormat="1" ht="24.75" customHeight="1" thickTop="1">
      <c r="A48" s="1126" t="s">
        <v>73</v>
      </c>
      <c r="B48" s="791" t="s">
        <v>718</v>
      </c>
      <c r="C48" s="792">
        <f aca="true" t="shared" si="19" ref="C48:R48">SUM(C49:C52)</f>
        <v>30492116</v>
      </c>
      <c r="D48" s="792">
        <f t="shared" si="19"/>
        <v>9999086</v>
      </c>
      <c r="E48" s="792">
        <f t="shared" si="19"/>
        <v>20493030</v>
      </c>
      <c r="F48" s="792">
        <f t="shared" si="19"/>
        <v>1063140</v>
      </c>
      <c r="G48" s="792">
        <f t="shared" si="19"/>
        <v>22285012</v>
      </c>
      <c r="H48" s="792">
        <f t="shared" si="19"/>
        <v>29428976</v>
      </c>
      <c r="I48" s="792">
        <f t="shared" si="19"/>
        <v>17789693</v>
      </c>
      <c r="J48" s="792">
        <f t="shared" si="19"/>
        <v>3061459</v>
      </c>
      <c r="K48" s="792">
        <f t="shared" si="19"/>
        <v>4499095</v>
      </c>
      <c r="L48" s="792">
        <f t="shared" si="19"/>
        <v>0</v>
      </c>
      <c r="M48" s="792">
        <f t="shared" si="19"/>
        <v>10052289</v>
      </c>
      <c r="N48" s="792">
        <f t="shared" si="19"/>
        <v>176850</v>
      </c>
      <c r="O48" s="792">
        <f t="shared" si="19"/>
        <v>0</v>
      </c>
      <c r="P48" s="792">
        <f t="shared" si="19"/>
        <v>0</v>
      </c>
      <c r="Q48" s="792">
        <f t="shared" si="19"/>
        <v>0</v>
      </c>
      <c r="R48" s="792">
        <f t="shared" si="19"/>
        <v>11639283</v>
      </c>
      <c r="S48" s="794">
        <f t="shared" si="17"/>
        <v>21868422</v>
      </c>
      <c r="T48" s="793">
        <f t="shared" si="6"/>
        <v>42.49963166874212</v>
      </c>
      <c r="U48" s="1152">
        <f t="shared" si="2"/>
        <v>0</v>
      </c>
      <c r="V48" s="1166">
        <f t="shared" si="3"/>
        <v>60.449582071764915</v>
      </c>
      <c r="W48" s="1167">
        <f t="shared" si="4"/>
        <v>10229139</v>
      </c>
    </row>
    <row r="49" spans="1:23" s="437" customFormat="1" ht="24.75" customHeight="1">
      <c r="A49" s="1127">
        <v>4.1</v>
      </c>
      <c r="B49" s="901" t="s">
        <v>719</v>
      </c>
      <c r="C49" s="786">
        <f t="shared" si="12"/>
        <v>2510160</v>
      </c>
      <c r="D49" s="902">
        <v>1600651</v>
      </c>
      <c r="E49" s="902">
        <v>909509</v>
      </c>
      <c r="F49" s="903"/>
      <c r="G49" s="903"/>
      <c r="H49" s="786">
        <f t="shared" si="13"/>
        <v>2510160</v>
      </c>
      <c r="I49" s="786">
        <f t="shared" si="14"/>
        <v>1897175</v>
      </c>
      <c r="J49" s="902">
        <v>342371</v>
      </c>
      <c r="K49" s="902">
        <v>283056</v>
      </c>
      <c r="L49" s="902"/>
      <c r="M49" s="902">
        <v>1255440</v>
      </c>
      <c r="N49" s="902">
        <v>16308</v>
      </c>
      <c r="O49" s="902"/>
      <c r="P49" s="902"/>
      <c r="Q49" s="904"/>
      <c r="R49" s="1130">
        <v>612985</v>
      </c>
      <c r="S49" s="905">
        <f t="shared" si="17"/>
        <v>1884733</v>
      </c>
      <c r="T49" s="906">
        <f t="shared" si="6"/>
        <v>32.966226099331905</v>
      </c>
      <c r="U49" s="1152">
        <f t="shared" si="2"/>
        <v>0</v>
      </c>
      <c r="V49" s="1165">
        <f t="shared" si="3"/>
        <v>75.57984351595117</v>
      </c>
      <c r="W49" s="1158">
        <f t="shared" si="4"/>
        <v>1271748</v>
      </c>
    </row>
    <row r="50" spans="1:23" s="437" customFormat="1" ht="24.75" customHeight="1">
      <c r="A50" s="1127">
        <v>4.2</v>
      </c>
      <c r="B50" s="901" t="s">
        <v>720</v>
      </c>
      <c r="C50" s="786">
        <f t="shared" si="12"/>
        <v>16720028</v>
      </c>
      <c r="D50" s="902">
        <v>2250375</v>
      </c>
      <c r="E50" s="902">
        <v>14469653</v>
      </c>
      <c r="F50" s="903">
        <v>198900</v>
      </c>
      <c r="G50" s="903"/>
      <c r="H50" s="786">
        <f t="shared" si="13"/>
        <v>16521128</v>
      </c>
      <c r="I50" s="786">
        <f t="shared" si="14"/>
        <v>6037855</v>
      </c>
      <c r="J50" s="902">
        <v>1273364</v>
      </c>
      <c r="K50" s="902">
        <v>119150</v>
      </c>
      <c r="L50" s="902"/>
      <c r="M50" s="902">
        <v>4645341</v>
      </c>
      <c r="N50" s="902">
        <v>0</v>
      </c>
      <c r="O50" s="902"/>
      <c r="P50" s="902"/>
      <c r="Q50" s="904"/>
      <c r="R50" s="1130">
        <v>10483273</v>
      </c>
      <c r="S50" s="905">
        <f t="shared" si="17"/>
        <v>15128614</v>
      </c>
      <c r="T50" s="906">
        <f t="shared" si="6"/>
        <v>23.06305798996498</v>
      </c>
      <c r="U50" s="1152">
        <f t="shared" si="2"/>
        <v>0</v>
      </c>
      <c r="V50" s="1165">
        <f t="shared" si="3"/>
        <v>36.54626366916351</v>
      </c>
      <c r="W50" s="1158">
        <f t="shared" si="4"/>
        <v>4645341</v>
      </c>
    </row>
    <row r="51" spans="1:23" s="437" customFormat="1" ht="24.75" customHeight="1">
      <c r="A51" s="1127">
        <v>4.3</v>
      </c>
      <c r="B51" s="901" t="s">
        <v>715</v>
      </c>
      <c r="C51" s="786">
        <f t="shared" si="12"/>
        <v>7395378</v>
      </c>
      <c r="D51" s="902">
        <v>5176633</v>
      </c>
      <c r="E51" s="902">
        <v>2218745</v>
      </c>
      <c r="F51" s="903">
        <v>4550</v>
      </c>
      <c r="G51" s="903"/>
      <c r="H51" s="786">
        <f t="shared" si="13"/>
        <v>7390828</v>
      </c>
      <c r="I51" s="786">
        <f t="shared" si="14"/>
        <v>7094994</v>
      </c>
      <c r="J51" s="902">
        <v>487365</v>
      </c>
      <c r="K51" s="902">
        <v>3944889</v>
      </c>
      <c r="L51" s="902"/>
      <c r="M51" s="902">
        <v>2662740</v>
      </c>
      <c r="N51" s="902">
        <v>0</v>
      </c>
      <c r="O51" s="902"/>
      <c r="P51" s="902"/>
      <c r="Q51" s="904"/>
      <c r="R51" s="1130">
        <v>295834</v>
      </c>
      <c r="S51" s="905">
        <f t="shared" si="17"/>
        <v>2958574</v>
      </c>
      <c r="T51" s="906">
        <f t="shared" si="6"/>
        <v>62.47015853713196</v>
      </c>
      <c r="U51" s="1152">
        <f t="shared" si="2"/>
        <v>0</v>
      </c>
      <c r="V51" s="1165">
        <f t="shared" si="3"/>
        <v>95.99728203659996</v>
      </c>
      <c r="W51" s="1158">
        <f t="shared" si="4"/>
        <v>2662740</v>
      </c>
    </row>
    <row r="52" spans="1:23" s="437" customFormat="1" ht="24.75" customHeight="1" thickBot="1">
      <c r="A52" s="1128">
        <v>4.5</v>
      </c>
      <c r="B52" s="908" t="s">
        <v>722</v>
      </c>
      <c r="C52" s="909">
        <f t="shared" si="12"/>
        <v>3866550</v>
      </c>
      <c r="D52" s="910">
        <f>23256439-22285012</f>
        <v>971427</v>
      </c>
      <c r="E52" s="910">
        <v>2895123</v>
      </c>
      <c r="F52" s="911">
        <v>859690</v>
      </c>
      <c r="G52" s="911">
        <v>22285012</v>
      </c>
      <c r="H52" s="909">
        <f t="shared" si="13"/>
        <v>3006860</v>
      </c>
      <c r="I52" s="909">
        <f t="shared" si="14"/>
        <v>2759669</v>
      </c>
      <c r="J52" s="910">
        <v>958359</v>
      </c>
      <c r="K52" s="910">
        <v>152000</v>
      </c>
      <c r="L52" s="910"/>
      <c r="M52" s="910">
        <v>1488768</v>
      </c>
      <c r="N52" s="910">
        <v>160542</v>
      </c>
      <c r="O52" s="910"/>
      <c r="P52" s="910"/>
      <c r="Q52" s="912"/>
      <c r="R52" s="1131">
        <v>247191</v>
      </c>
      <c r="S52" s="913">
        <f t="shared" si="17"/>
        <v>1896501</v>
      </c>
      <c r="T52" s="914">
        <f t="shared" si="6"/>
        <v>40.23522386199214</v>
      </c>
      <c r="U52" s="1152">
        <f t="shared" si="2"/>
        <v>0</v>
      </c>
      <c r="V52" s="1165">
        <f t="shared" si="3"/>
        <v>91.77909846151799</v>
      </c>
      <c r="W52" s="1158">
        <f t="shared" si="4"/>
        <v>1649310</v>
      </c>
    </row>
    <row r="53" spans="1:23" s="437" customFormat="1" ht="24.75" customHeight="1" thickTop="1">
      <c r="A53" s="1126" t="s">
        <v>74</v>
      </c>
      <c r="B53" s="791" t="s">
        <v>723</v>
      </c>
      <c r="C53" s="792">
        <f>SUM(C54:C56)</f>
        <v>59208483</v>
      </c>
      <c r="D53" s="792">
        <f aca="true" t="shared" si="20" ref="D53:R53">SUM(D54:D56)</f>
        <v>22389630</v>
      </c>
      <c r="E53" s="792">
        <f t="shared" si="20"/>
        <v>36818853</v>
      </c>
      <c r="F53" s="792">
        <f t="shared" si="20"/>
        <v>185090</v>
      </c>
      <c r="G53" s="792">
        <f t="shared" si="20"/>
        <v>622973</v>
      </c>
      <c r="H53" s="792">
        <f t="shared" si="20"/>
        <v>59023393</v>
      </c>
      <c r="I53" s="792">
        <f t="shared" si="20"/>
        <v>46208750</v>
      </c>
      <c r="J53" s="792">
        <f t="shared" si="20"/>
        <v>11494614</v>
      </c>
      <c r="K53" s="792">
        <f t="shared" si="20"/>
        <v>5105953</v>
      </c>
      <c r="L53" s="792">
        <f t="shared" si="20"/>
        <v>8790</v>
      </c>
      <c r="M53" s="792">
        <f t="shared" si="20"/>
        <v>28773365</v>
      </c>
      <c r="N53" s="792">
        <f t="shared" si="20"/>
        <v>687986</v>
      </c>
      <c r="O53" s="792">
        <f t="shared" si="20"/>
        <v>0</v>
      </c>
      <c r="P53" s="792">
        <f t="shared" si="20"/>
        <v>0</v>
      </c>
      <c r="Q53" s="792">
        <f t="shared" si="20"/>
        <v>138042</v>
      </c>
      <c r="R53" s="792">
        <f t="shared" si="20"/>
        <v>12814643</v>
      </c>
      <c r="S53" s="794">
        <f t="shared" si="17"/>
        <v>42414036</v>
      </c>
      <c r="T53" s="793">
        <f t="shared" si="6"/>
        <v>35.94418156734385</v>
      </c>
      <c r="U53" s="1152">
        <f t="shared" si="2"/>
        <v>0</v>
      </c>
      <c r="V53" s="1166">
        <f t="shared" si="3"/>
        <v>78.28887437901105</v>
      </c>
      <c r="W53" s="1167">
        <f t="shared" si="4"/>
        <v>29599393</v>
      </c>
    </row>
    <row r="54" spans="1:23" s="437" customFormat="1" ht="24.75" customHeight="1">
      <c r="A54" s="1127">
        <v>5.1</v>
      </c>
      <c r="B54" s="901" t="s">
        <v>724</v>
      </c>
      <c r="C54" s="786">
        <f t="shared" si="12"/>
        <v>16899492</v>
      </c>
      <c r="D54" s="902">
        <v>7519101</v>
      </c>
      <c r="E54" s="902">
        <v>9380391</v>
      </c>
      <c r="F54" s="903">
        <v>3390</v>
      </c>
      <c r="G54" s="903">
        <v>0</v>
      </c>
      <c r="H54" s="786">
        <f t="shared" si="13"/>
        <v>16896102</v>
      </c>
      <c r="I54" s="786">
        <f t="shared" si="14"/>
        <v>13739813</v>
      </c>
      <c r="J54" s="902">
        <v>4393354</v>
      </c>
      <c r="K54" s="902">
        <v>1095551</v>
      </c>
      <c r="L54" s="902">
        <v>0</v>
      </c>
      <c r="M54" s="902">
        <v>8250908</v>
      </c>
      <c r="N54" s="902">
        <v>0</v>
      </c>
      <c r="O54" s="902">
        <v>0</v>
      </c>
      <c r="P54" s="902">
        <v>0</v>
      </c>
      <c r="Q54" s="904">
        <v>0</v>
      </c>
      <c r="R54" s="789">
        <v>3156289</v>
      </c>
      <c r="S54" s="905">
        <f t="shared" si="17"/>
        <v>11407197</v>
      </c>
      <c r="T54" s="906">
        <f t="shared" si="6"/>
        <v>39.94890614595701</v>
      </c>
      <c r="U54" s="1152">
        <f t="shared" si="2"/>
        <v>0</v>
      </c>
      <c r="V54" s="1165">
        <f t="shared" si="3"/>
        <v>81.31942503661496</v>
      </c>
      <c r="W54" s="1158">
        <f t="shared" si="4"/>
        <v>8250908</v>
      </c>
    </row>
    <row r="55" spans="1:23" s="437" customFormat="1" ht="24.75" customHeight="1">
      <c r="A55" s="1127">
        <v>5.2</v>
      </c>
      <c r="B55" s="901" t="s">
        <v>725</v>
      </c>
      <c r="C55" s="786">
        <f t="shared" si="12"/>
        <v>15766040</v>
      </c>
      <c r="D55" s="902">
        <f>7789769-622973</f>
        <v>7166796</v>
      </c>
      <c r="E55" s="902">
        <v>8599244</v>
      </c>
      <c r="F55" s="903">
        <v>6500</v>
      </c>
      <c r="G55" s="903">
        <v>622973</v>
      </c>
      <c r="H55" s="786">
        <f t="shared" si="13"/>
        <v>15759540</v>
      </c>
      <c r="I55" s="786">
        <f t="shared" si="14"/>
        <v>13706865</v>
      </c>
      <c r="J55" s="902">
        <v>3778460</v>
      </c>
      <c r="K55" s="902">
        <v>3157407</v>
      </c>
      <c r="L55" s="902">
        <v>8790</v>
      </c>
      <c r="M55" s="902">
        <v>6714208</v>
      </c>
      <c r="N55" s="902">
        <v>48000</v>
      </c>
      <c r="O55" s="902">
        <v>0</v>
      </c>
      <c r="P55" s="902">
        <v>0</v>
      </c>
      <c r="Q55" s="904">
        <v>0</v>
      </c>
      <c r="R55" s="789">
        <v>2052675</v>
      </c>
      <c r="S55" s="905">
        <f t="shared" si="17"/>
        <v>8814883</v>
      </c>
      <c r="T55" s="906">
        <f t="shared" si="6"/>
        <v>50.66553876469929</v>
      </c>
      <c r="U55" s="1152">
        <f t="shared" si="2"/>
        <v>0</v>
      </c>
      <c r="V55" s="1165">
        <f t="shared" si="3"/>
        <v>86.9750322661702</v>
      </c>
      <c r="W55" s="1158">
        <f t="shared" si="4"/>
        <v>6762208</v>
      </c>
    </row>
    <row r="56" spans="1:23" s="437" customFormat="1" ht="24.75" customHeight="1" thickBot="1">
      <c r="A56" s="1128">
        <v>5.3</v>
      </c>
      <c r="B56" s="1142" t="s">
        <v>726</v>
      </c>
      <c r="C56" s="909">
        <f t="shared" si="12"/>
        <v>26542951</v>
      </c>
      <c r="D56" s="910">
        <v>7703733</v>
      </c>
      <c r="E56" s="910">
        <v>18839218</v>
      </c>
      <c r="F56" s="911">
        <v>175200</v>
      </c>
      <c r="G56" s="911">
        <v>0</v>
      </c>
      <c r="H56" s="909">
        <f t="shared" si="13"/>
        <v>26367751</v>
      </c>
      <c r="I56" s="909">
        <f t="shared" si="14"/>
        <v>18762072</v>
      </c>
      <c r="J56" s="910">
        <f>3053177+269623</f>
        <v>3322800</v>
      </c>
      <c r="K56" s="910">
        <v>852995</v>
      </c>
      <c r="L56" s="910">
        <v>0</v>
      </c>
      <c r="M56" s="910">
        <v>13808249</v>
      </c>
      <c r="N56" s="910">
        <v>639986</v>
      </c>
      <c r="O56" s="910">
        <v>0</v>
      </c>
      <c r="P56" s="910">
        <v>0</v>
      </c>
      <c r="Q56" s="912">
        <v>138042</v>
      </c>
      <c r="R56" s="916">
        <v>7605679</v>
      </c>
      <c r="S56" s="913">
        <f t="shared" si="17"/>
        <v>22191956</v>
      </c>
      <c r="T56" s="914">
        <f t="shared" si="6"/>
        <v>22.256576992136047</v>
      </c>
      <c r="U56" s="1152">
        <f t="shared" si="2"/>
        <v>0</v>
      </c>
      <c r="V56" s="1165">
        <f t="shared" si="3"/>
        <v>71.15537460893043</v>
      </c>
      <c r="W56" s="1158">
        <f t="shared" si="4"/>
        <v>14586277</v>
      </c>
    </row>
    <row r="57" spans="1:23" s="437" customFormat="1" ht="24.75" customHeight="1" thickTop="1">
      <c r="A57" s="1126" t="s">
        <v>75</v>
      </c>
      <c r="B57" s="791" t="s">
        <v>727</v>
      </c>
      <c r="C57" s="792">
        <f>SUM(C58:C59)</f>
        <v>15674502</v>
      </c>
      <c r="D57" s="792">
        <f aca="true" t="shared" si="21" ref="D57:R57">SUM(D58:D59)</f>
        <v>4132519</v>
      </c>
      <c r="E57" s="792">
        <f t="shared" si="21"/>
        <v>11541983</v>
      </c>
      <c r="F57" s="792">
        <f t="shared" si="21"/>
        <v>142511</v>
      </c>
      <c r="G57" s="792">
        <f t="shared" si="21"/>
        <v>0</v>
      </c>
      <c r="H57" s="792">
        <f t="shared" si="21"/>
        <v>15531991</v>
      </c>
      <c r="I57" s="792">
        <f t="shared" si="21"/>
        <v>9940328</v>
      </c>
      <c r="J57" s="792">
        <f t="shared" si="21"/>
        <v>3279518</v>
      </c>
      <c r="K57" s="792">
        <f t="shared" si="21"/>
        <v>1322487</v>
      </c>
      <c r="L57" s="792">
        <f t="shared" si="21"/>
        <v>0</v>
      </c>
      <c r="M57" s="792">
        <f t="shared" si="21"/>
        <v>5216564</v>
      </c>
      <c r="N57" s="792">
        <f t="shared" si="21"/>
        <v>80662</v>
      </c>
      <c r="O57" s="792">
        <f t="shared" si="21"/>
        <v>0</v>
      </c>
      <c r="P57" s="792">
        <f t="shared" si="21"/>
        <v>0</v>
      </c>
      <c r="Q57" s="792">
        <f t="shared" si="21"/>
        <v>41097</v>
      </c>
      <c r="R57" s="792">
        <f t="shared" si="21"/>
        <v>5591663</v>
      </c>
      <c r="S57" s="794">
        <f t="shared" si="17"/>
        <v>10929986</v>
      </c>
      <c r="T57" s="793">
        <f t="shared" si="6"/>
        <v>46.2963093370762</v>
      </c>
      <c r="U57" s="1152">
        <f t="shared" si="2"/>
        <v>0</v>
      </c>
      <c r="V57" s="1166">
        <f t="shared" si="3"/>
        <v>63.99905845940806</v>
      </c>
      <c r="W57" s="1167">
        <f t="shared" si="4"/>
        <v>5338323</v>
      </c>
    </row>
    <row r="58" spans="1:23" s="437" customFormat="1" ht="24.75" customHeight="1">
      <c r="A58" s="1127">
        <v>6.1</v>
      </c>
      <c r="B58" s="917" t="s">
        <v>728</v>
      </c>
      <c r="C58" s="786">
        <f t="shared" si="12"/>
        <v>5627765</v>
      </c>
      <c r="D58" s="902">
        <v>1023657</v>
      </c>
      <c r="E58" s="902">
        <v>4604108</v>
      </c>
      <c r="F58" s="903">
        <v>110494</v>
      </c>
      <c r="G58" s="903">
        <v>0</v>
      </c>
      <c r="H58" s="786">
        <f t="shared" si="13"/>
        <v>5517271</v>
      </c>
      <c r="I58" s="786">
        <f t="shared" si="14"/>
        <v>2054141</v>
      </c>
      <c r="J58" s="902">
        <v>847710</v>
      </c>
      <c r="K58" s="902">
        <v>443823</v>
      </c>
      <c r="L58" s="902">
        <v>0</v>
      </c>
      <c r="M58" s="902">
        <v>640849</v>
      </c>
      <c r="N58" s="902">
        <v>80662</v>
      </c>
      <c r="O58" s="902">
        <v>0</v>
      </c>
      <c r="P58" s="902">
        <v>0</v>
      </c>
      <c r="Q58" s="904">
        <v>41097</v>
      </c>
      <c r="R58" s="789">
        <v>3463130</v>
      </c>
      <c r="S58" s="905">
        <f t="shared" si="17"/>
        <v>4225738</v>
      </c>
      <c r="T58" s="906">
        <f t="shared" si="6"/>
        <v>62.87460305792057</v>
      </c>
      <c r="U58" s="1152">
        <f t="shared" si="2"/>
        <v>0</v>
      </c>
      <c r="V58" s="1165">
        <f t="shared" si="3"/>
        <v>37.23110574050106</v>
      </c>
      <c r="W58" s="1158">
        <f t="shared" si="4"/>
        <v>762608</v>
      </c>
    </row>
    <row r="59" spans="1:23" s="437" customFormat="1" ht="24.75" customHeight="1" thickBot="1">
      <c r="A59" s="1128">
        <v>6.3</v>
      </c>
      <c r="B59" s="908" t="s">
        <v>729</v>
      </c>
      <c r="C59" s="909">
        <f t="shared" si="12"/>
        <v>10046737</v>
      </c>
      <c r="D59" s="910">
        <v>3108862</v>
      </c>
      <c r="E59" s="910">
        <v>6937875</v>
      </c>
      <c r="F59" s="911">
        <v>32017</v>
      </c>
      <c r="G59" s="911">
        <v>0</v>
      </c>
      <c r="H59" s="909">
        <f t="shared" si="13"/>
        <v>10014720</v>
      </c>
      <c r="I59" s="909">
        <f t="shared" si="14"/>
        <v>7886187</v>
      </c>
      <c r="J59" s="910">
        <v>2431808</v>
      </c>
      <c r="K59" s="910">
        <v>878664</v>
      </c>
      <c r="L59" s="910">
        <v>0</v>
      </c>
      <c r="M59" s="910">
        <v>4575715</v>
      </c>
      <c r="N59" s="910">
        <v>0</v>
      </c>
      <c r="O59" s="910">
        <v>0</v>
      </c>
      <c r="P59" s="910">
        <v>0</v>
      </c>
      <c r="Q59" s="912">
        <v>0</v>
      </c>
      <c r="R59" s="916">
        <v>2128533</v>
      </c>
      <c r="S59" s="913">
        <f t="shared" si="17"/>
        <v>6704248</v>
      </c>
      <c r="T59" s="914">
        <f t="shared" si="6"/>
        <v>41.97810678341764</v>
      </c>
      <c r="U59" s="1152">
        <f t="shared" si="2"/>
        <v>0</v>
      </c>
      <c r="V59" s="1165">
        <f t="shared" si="3"/>
        <v>78.74595595283742</v>
      </c>
      <c r="W59" s="1158">
        <f t="shared" si="4"/>
        <v>4575715</v>
      </c>
    </row>
    <row r="60" spans="1:23" s="437" customFormat="1" ht="21.75" customHeight="1" thickTop="1">
      <c r="A60" s="1126" t="s">
        <v>76</v>
      </c>
      <c r="B60" s="791" t="s">
        <v>730</v>
      </c>
      <c r="C60" s="792">
        <f>SUM(C61:C65)</f>
        <v>114736652</v>
      </c>
      <c r="D60" s="792">
        <f aca="true" t="shared" si="22" ref="D60:R60">SUM(D61:D65)</f>
        <v>88766994</v>
      </c>
      <c r="E60" s="792">
        <f t="shared" si="22"/>
        <v>25969658</v>
      </c>
      <c r="F60" s="792">
        <f t="shared" si="22"/>
        <v>1539827</v>
      </c>
      <c r="G60" s="792">
        <f t="shared" si="22"/>
        <v>23771940</v>
      </c>
      <c r="H60" s="792">
        <f t="shared" si="22"/>
        <v>113196825</v>
      </c>
      <c r="I60" s="792">
        <f t="shared" si="22"/>
        <v>77354978</v>
      </c>
      <c r="J60" s="792">
        <f t="shared" si="22"/>
        <v>15458471</v>
      </c>
      <c r="K60" s="792">
        <f t="shared" si="22"/>
        <v>1528891</v>
      </c>
      <c r="L60" s="792">
        <f t="shared" si="22"/>
        <v>0</v>
      </c>
      <c r="M60" s="792">
        <f t="shared" si="22"/>
        <v>60364016</v>
      </c>
      <c r="N60" s="792">
        <f t="shared" si="22"/>
        <v>3600</v>
      </c>
      <c r="O60" s="792">
        <f t="shared" si="22"/>
        <v>0</v>
      </c>
      <c r="P60" s="792">
        <f t="shared" si="22"/>
        <v>0</v>
      </c>
      <c r="Q60" s="792">
        <f t="shared" si="22"/>
        <v>0</v>
      </c>
      <c r="R60" s="792">
        <f t="shared" si="22"/>
        <v>35841847</v>
      </c>
      <c r="S60" s="794">
        <f t="shared" si="17"/>
        <v>96209463</v>
      </c>
      <c r="T60" s="793">
        <f t="shared" si="6"/>
        <v>21.960269964784942</v>
      </c>
      <c r="U60" s="1152">
        <f t="shared" si="2"/>
        <v>0</v>
      </c>
      <c r="V60" s="1166">
        <f t="shared" si="3"/>
        <v>68.33670290664071</v>
      </c>
      <c r="W60" s="1167">
        <f>M60+N60+O60+P60+Q60</f>
        <v>60367616</v>
      </c>
    </row>
    <row r="61" spans="1:23" s="437" customFormat="1" ht="22.5" customHeight="1">
      <c r="A61" s="1127">
        <v>7.1</v>
      </c>
      <c r="B61" s="901" t="s">
        <v>731</v>
      </c>
      <c r="C61" s="786">
        <f t="shared" si="12"/>
        <v>7969483</v>
      </c>
      <c r="D61" s="902">
        <v>6236131</v>
      </c>
      <c r="E61" s="902">
        <v>1733352</v>
      </c>
      <c r="F61" s="903">
        <v>58800</v>
      </c>
      <c r="G61" s="903">
        <v>0</v>
      </c>
      <c r="H61" s="786">
        <f t="shared" si="13"/>
        <v>7910683</v>
      </c>
      <c r="I61" s="786">
        <f t="shared" si="14"/>
        <v>3033561</v>
      </c>
      <c r="J61" s="902">
        <v>737398</v>
      </c>
      <c r="K61" s="902">
        <v>460804</v>
      </c>
      <c r="L61" s="902">
        <v>0</v>
      </c>
      <c r="M61" s="902">
        <v>1831759</v>
      </c>
      <c r="N61" s="902">
        <v>3600</v>
      </c>
      <c r="O61" s="902">
        <v>0</v>
      </c>
      <c r="P61" s="902">
        <v>0</v>
      </c>
      <c r="Q61" s="904">
        <v>0</v>
      </c>
      <c r="R61" s="789">
        <v>4877122</v>
      </c>
      <c r="S61" s="905">
        <f t="shared" si="17"/>
        <v>6712481</v>
      </c>
      <c r="T61" s="906">
        <f t="shared" si="6"/>
        <v>39.49820029991156</v>
      </c>
      <c r="U61" s="1152">
        <f t="shared" si="2"/>
        <v>0</v>
      </c>
      <c r="V61" s="1165">
        <f t="shared" si="3"/>
        <v>38.34764962772494</v>
      </c>
      <c r="W61" s="1158">
        <f t="shared" si="4"/>
        <v>1835359</v>
      </c>
    </row>
    <row r="62" spans="1:23" s="437" customFormat="1" ht="23.25" customHeight="1">
      <c r="A62" s="1127">
        <v>7.2</v>
      </c>
      <c r="B62" s="917" t="s">
        <v>732</v>
      </c>
      <c r="C62" s="786">
        <f t="shared" si="12"/>
        <v>0</v>
      </c>
      <c r="D62" s="902">
        <v>0</v>
      </c>
      <c r="E62" s="902">
        <v>0</v>
      </c>
      <c r="F62" s="903">
        <v>0</v>
      </c>
      <c r="G62" s="903">
        <v>0</v>
      </c>
      <c r="H62" s="786">
        <f t="shared" si="13"/>
        <v>0</v>
      </c>
      <c r="I62" s="786">
        <f t="shared" si="14"/>
        <v>0</v>
      </c>
      <c r="J62" s="902">
        <v>0</v>
      </c>
      <c r="K62" s="902">
        <v>0</v>
      </c>
      <c r="L62" s="902">
        <v>0</v>
      </c>
      <c r="M62" s="902">
        <v>0</v>
      </c>
      <c r="N62" s="902">
        <v>0</v>
      </c>
      <c r="O62" s="902">
        <v>0</v>
      </c>
      <c r="P62" s="902">
        <v>0</v>
      </c>
      <c r="Q62" s="904">
        <v>0</v>
      </c>
      <c r="R62" s="789">
        <v>0</v>
      </c>
      <c r="S62" s="905">
        <f t="shared" si="17"/>
        <v>0</v>
      </c>
      <c r="T62" s="906" t="e">
        <f t="shared" si="6"/>
        <v>#DIV/0!</v>
      </c>
      <c r="U62" s="1152">
        <f t="shared" si="2"/>
        <v>0</v>
      </c>
      <c r="V62" s="1165" t="e">
        <f t="shared" si="3"/>
        <v>#DIV/0!</v>
      </c>
      <c r="W62" s="1158">
        <f t="shared" si="4"/>
        <v>0</v>
      </c>
    </row>
    <row r="63" spans="1:23" s="437" customFormat="1" ht="23.25" customHeight="1">
      <c r="A63" s="1127">
        <v>7.3</v>
      </c>
      <c r="B63" s="917" t="s">
        <v>733</v>
      </c>
      <c r="C63" s="786">
        <f t="shared" si="12"/>
        <v>18363992</v>
      </c>
      <c r="D63" s="902">
        <f>14105805</f>
        <v>14105805</v>
      </c>
      <c r="E63" s="902">
        <v>4258187</v>
      </c>
      <c r="F63" s="903">
        <v>52665</v>
      </c>
      <c r="G63" s="903">
        <v>22593341</v>
      </c>
      <c r="H63" s="786">
        <f t="shared" si="13"/>
        <v>18311327</v>
      </c>
      <c r="I63" s="786">
        <f t="shared" si="14"/>
        <v>8863581</v>
      </c>
      <c r="J63" s="902">
        <v>1516843</v>
      </c>
      <c r="K63" s="902">
        <v>67648</v>
      </c>
      <c r="L63" s="902">
        <v>0</v>
      </c>
      <c r="M63" s="902">
        <v>7279090</v>
      </c>
      <c r="N63" s="902">
        <v>0</v>
      </c>
      <c r="O63" s="902">
        <v>0</v>
      </c>
      <c r="P63" s="902">
        <v>0</v>
      </c>
      <c r="Q63" s="904">
        <v>0</v>
      </c>
      <c r="R63" s="789">
        <v>9447746</v>
      </c>
      <c r="S63" s="905">
        <f t="shared" si="17"/>
        <v>16726836</v>
      </c>
      <c r="T63" s="906">
        <f t="shared" si="6"/>
        <v>17.876420376820608</v>
      </c>
      <c r="U63" s="1152">
        <f t="shared" si="2"/>
        <v>0</v>
      </c>
      <c r="V63" s="1165">
        <f t="shared" si="3"/>
        <v>48.40490806592007</v>
      </c>
      <c r="W63" s="1158">
        <f t="shared" si="4"/>
        <v>7279090</v>
      </c>
    </row>
    <row r="64" spans="1:23" s="437" customFormat="1" ht="23.25" customHeight="1">
      <c r="A64" s="1127">
        <v>7.4</v>
      </c>
      <c r="B64" s="901" t="s">
        <v>734</v>
      </c>
      <c r="C64" s="786">
        <f t="shared" si="12"/>
        <v>48261089</v>
      </c>
      <c r="D64" s="902">
        <f>38149227</f>
        <v>38149227</v>
      </c>
      <c r="E64" s="902">
        <v>10111862</v>
      </c>
      <c r="F64" s="903">
        <v>1426987</v>
      </c>
      <c r="G64" s="903">
        <v>1178599</v>
      </c>
      <c r="H64" s="786">
        <f t="shared" si="13"/>
        <v>46834102</v>
      </c>
      <c r="I64" s="786">
        <f t="shared" si="14"/>
        <v>38642448</v>
      </c>
      <c r="J64" s="902">
        <v>7446079</v>
      </c>
      <c r="K64" s="902">
        <v>368400</v>
      </c>
      <c r="L64" s="902">
        <v>0</v>
      </c>
      <c r="M64" s="902">
        <v>30827969</v>
      </c>
      <c r="N64" s="902">
        <v>0</v>
      </c>
      <c r="O64" s="902">
        <v>0</v>
      </c>
      <c r="P64" s="902">
        <v>0</v>
      </c>
      <c r="Q64" s="904">
        <v>0</v>
      </c>
      <c r="R64" s="789">
        <v>8191654</v>
      </c>
      <c r="S64" s="905">
        <f t="shared" si="17"/>
        <v>39019623</v>
      </c>
      <c r="T64" s="906">
        <f t="shared" si="6"/>
        <v>20.22252575716735</v>
      </c>
      <c r="U64" s="1152">
        <f t="shared" si="2"/>
        <v>0</v>
      </c>
      <c r="V64" s="1165">
        <f t="shared" si="3"/>
        <v>82.50921091643862</v>
      </c>
      <c r="W64" s="1158">
        <f t="shared" si="4"/>
        <v>30827969</v>
      </c>
    </row>
    <row r="65" spans="1:23" s="437" customFormat="1" ht="24.75" customHeight="1" thickBot="1">
      <c r="A65" s="1128">
        <v>7.5</v>
      </c>
      <c r="B65" s="908" t="s">
        <v>735</v>
      </c>
      <c r="C65" s="909">
        <f t="shared" si="12"/>
        <v>40142088</v>
      </c>
      <c r="D65" s="910">
        <v>30275831</v>
      </c>
      <c r="E65" s="910">
        <v>9866257</v>
      </c>
      <c r="F65" s="911">
        <v>1375</v>
      </c>
      <c r="G65" s="911">
        <v>0</v>
      </c>
      <c r="H65" s="909">
        <f t="shared" si="13"/>
        <v>40140713</v>
      </c>
      <c r="I65" s="909">
        <f t="shared" si="14"/>
        <v>26815388</v>
      </c>
      <c r="J65" s="910">
        <v>5758151</v>
      </c>
      <c r="K65" s="910">
        <v>632039</v>
      </c>
      <c r="L65" s="910">
        <v>0</v>
      </c>
      <c r="M65" s="910">
        <v>20425198</v>
      </c>
      <c r="N65" s="910">
        <v>0</v>
      </c>
      <c r="O65" s="910">
        <v>0</v>
      </c>
      <c r="P65" s="910">
        <v>0</v>
      </c>
      <c r="Q65" s="912">
        <v>0</v>
      </c>
      <c r="R65" s="916">
        <v>13325325</v>
      </c>
      <c r="S65" s="913">
        <f t="shared" si="17"/>
        <v>33750523</v>
      </c>
      <c r="T65" s="914">
        <f t="shared" si="6"/>
        <v>23.830309671446855</v>
      </c>
      <c r="U65" s="819">
        <f t="shared" si="2"/>
        <v>0</v>
      </c>
      <c r="V65" s="1165">
        <f t="shared" si="3"/>
        <v>66.80346709337226</v>
      </c>
      <c r="W65" s="1158">
        <f t="shared" si="4"/>
        <v>20425198</v>
      </c>
    </row>
    <row r="66" spans="1:23" s="437" customFormat="1" ht="21" customHeight="1" thickTop="1">
      <c r="A66" s="1126" t="s">
        <v>77</v>
      </c>
      <c r="B66" s="791" t="s">
        <v>736</v>
      </c>
      <c r="C66" s="792">
        <f>SUM(C67:C70)</f>
        <v>127047889</v>
      </c>
      <c r="D66" s="792">
        <f aca="true" t="shared" si="23" ref="D66:R66">SUM(D67:D70)</f>
        <v>80716162</v>
      </c>
      <c r="E66" s="792">
        <f t="shared" si="23"/>
        <v>46331727</v>
      </c>
      <c r="F66" s="792">
        <f t="shared" si="23"/>
        <v>24509598</v>
      </c>
      <c r="G66" s="792">
        <f t="shared" si="23"/>
        <v>0</v>
      </c>
      <c r="H66" s="792">
        <f t="shared" si="23"/>
        <v>102538291</v>
      </c>
      <c r="I66" s="792">
        <f t="shared" si="23"/>
        <v>43813963</v>
      </c>
      <c r="J66" s="792">
        <f t="shared" si="23"/>
        <v>9646617</v>
      </c>
      <c r="K66" s="792">
        <f t="shared" si="23"/>
        <v>983388</v>
      </c>
      <c r="L66" s="792">
        <f t="shared" si="23"/>
        <v>0</v>
      </c>
      <c r="M66" s="792">
        <f t="shared" si="23"/>
        <v>32866763</v>
      </c>
      <c r="N66" s="792">
        <f t="shared" si="23"/>
        <v>317195</v>
      </c>
      <c r="O66" s="792">
        <f t="shared" si="23"/>
        <v>0</v>
      </c>
      <c r="P66" s="792">
        <f t="shared" si="23"/>
        <v>0</v>
      </c>
      <c r="Q66" s="792">
        <f t="shared" si="23"/>
        <v>0</v>
      </c>
      <c r="R66" s="792">
        <f t="shared" si="23"/>
        <v>58724328</v>
      </c>
      <c r="S66" s="794">
        <f t="shared" si="17"/>
        <v>91908286</v>
      </c>
      <c r="T66" s="793">
        <f t="shared" si="6"/>
        <v>24.26168342726724</v>
      </c>
      <c r="U66" s="819">
        <f t="shared" si="2"/>
        <v>0</v>
      </c>
      <c r="V66" s="1166">
        <f t="shared" si="3"/>
        <v>42.729367315084275</v>
      </c>
      <c r="W66" s="1167">
        <f t="shared" si="4"/>
        <v>33183958</v>
      </c>
    </row>
    <row r="67" spans="1:23" s="437" customFormat="1" ht="24.75" customHeight="1">
      <c r="A67" s="1127">
        <v>8.1</v>
      </c>
      <c r="B67" s="918" t="s">
        <v>737</v>
      </c>
      <c r="C67" s="786">
        <f t="shared" si="12"/>
        <v>855618</v>
      </c>
      <c r="D67" s="902">
        <v>0</v>
      </c>
      <c r="E67" s="902">
        <v>855618</v>
      </c>
      <c r="F67" s="903">
        <v>174919</v>
      </c>
      <c r="G67" s="903">
        <v>0</v>
      </c>
      <c r="H67" s="786">
        <f t="shared" si="13"/>
        <v>680699</v>
      </c>
      <c r="I67" s="786">
        <f t="shared" si="14"/>
        <v>311117</v>
      </c>
      <c r="J67" s="902">
        <v>189117</v>
      </c>
      <c r="K67" s="902">
        <v>122000</v>
      </c>
      <c r="L67" s="902">
        <v>0</v>
      </c>
      <c r="M67" s="902">
        <v>0</v>
      </c>
      <c r="N67" s="902">
        <v>0</v>
      </c>
      <c r="O67" s="902">
        <v>0</v>
      </c>
      <c r="P67" s="902">
        <v>0</v>
      </c>
      <c r="Q67" s="904">
        <v>0</v>
      </c>
      <c r="R67" s="789">
        <v>369582</v>
      </c>
      <c r="S67" s="905">
        <f t="shared" si="17"/>
        <v>369582</v>
      </c>
      <c r="T67" s="906">
        <f t="shared" si="6"/>
        <v>100</v>
      </c>
      <c r="U67" s="819">
        <f t="shared" si="2"/>
        <v>0</v>
      </c>
      <c r="V67" s="1165">
        <f t="shared" si="3"/>
        <v>45.705517416655525</v>
      </c>
      <c r="W67" s="1158">
        <f t="shared" si="4"/>
        <v>0</v>
      </c>
    </row>
    <row r="68" spans="1:23" s="437" customFormat="1" ht="24.75" customHeight="1">
      <c r="A68" s="1127">
        <v>8.2</v>
      </c>
      <c r="B68" s="918" t="s">
        <v>738</v>
      </c>
      <c r="C68" s="786">
        <f t="shared" si="12"/>
        <v>43792599</v>
      </c>
      <c r="D68" s="902">
        <v>26936936</v>
      </c>
      <c r="E68" s="902">
        <v>16855663</v>
      </c>
      <c r="F68" s="903">
        <v>18035624</v>
      </c>
      <c r="G68" s="903">
        <v>0</v>
      </c>
      <c r="H68" s="786">
        <f t="shared" si="13"/>
        <v>25756975</v>
      </c>
      <c r="I68" s="786">
        <f t="shared" si="14"/>
        <v>6913951</v>
      </c>
      <c r="J68" s="902">
        <v>3601487</v>
      </c>
      <c r="K68" s="902">
        <v>283328</v>
      </c>
      <c r="L68" s="902">
        <v>0</v>
      </c>
      <c r="M68" s="902">
        <v>2973136</v>
      </c>
      <c r="N68" s="902">
        <v>56000</v>
      </c>
      <c r="O68" s="902">
        <v>0</v>
      </c>
      <c r="P68" s="902">
        <v>0</v>
      </c>
      <c r="Q68" s="904">
        <v>0</v>
      </c>
      <c r="R68" s="789">
        <v>18843024</v>
      </c>
      <c r="S68" s="905">
        <f t="shared" si="17"/>
        <v>21872160</v>
      </c>
      <c r="T68" s="906">
        <f t="shared" si="6"/>
        <v>56.188060922040094</v>
      </c>
      <c r="U68" s="819">
        <f t="shared" si="2"/>
        <v>0</v>
      </c>
      <c r="V68" s="1165">
        <f t="shared" si="3"/>
        <v>26.843024074061496</v>
      </c>
      <c r="W68" s="1158">
        <f t="shared" si="4"/>
        <v>3029136</v>
      </c>
    </row>
    <row r="69" spans="1:23" s="437" customFormat="1" ht="24.75" customHeight="1">
      <c r="A69" s="1127">
        <v>8.3</v>
      </c>
      <c r="B69" s="919" t="s">
        <v>739</v>
      </c>
      <c r="C69" s="786">
        <f t="shared" si="12"/>
        <v>20760590</v>
      </c>
      <c r="D69" s="902">
        <v>17597040</v>
      </c>
      <c r="E69" s="902">
        <v>3163550</v>
      </c>
      <c r="F69" s="903">
        <v>203653</v>
      </c>
      <c r="G69" s="903">
        <v>0</v>
      </c>
      <c r="H69" s="786">
        <f t="shared" si="13"/>
        <v>20556937</v>
      </c>
      <c r="I69" s="786">
        <f t="shared" si="14"/>
        <v>6193285</v>
      </c>
      <c r="J69" s="902">
        <v>665127</v>
      </c>
      <c r="K69" s="902">
        <v>43015</v>
      </c>
      <c r="L69" s="902">
        <v>0</v>
      </c>
      <c r="M69" s="902">
        <v>5485143</v>
      </c>
      <c r="N69" s="902">
        <v>0</v>
      </c>
      <c r="O69" s="902">
        <v>0</v>
      </c>
      <c r="P69" s="902">
        <v>0</v>
      </c>
      <c r="Q69" s="904">
        <v>0</v>
      </c>
      <c r="R69" s="789">
        <v>14363652</v>
      </c>
      <c r="S69" s="905">
        <f t="shared" si="17"/>
        <v>19848795</v>
      </c>
      <c r="T69" s="906">
        <f t="shared" si="6"/>
        <v>11.434028952324978</v>
      </c>
      <c r="U69" s="819">
        <f t="shared" si="2"/>
        <v>0</v>
      </c>
      <c r="V69" s="1165">
        <f t="shared" si="3"/>
        <v>30.127469865768425</v>
      </c>
      <c r="W69" s="1158">
        <f t="shared" si="4"/>
        <v>5485143</v>
      </c>
    </row>
    <row r="70" spans="1:23" s="437" customFormat="1" ht="24.75" customHeight="1" thickBot="1">
      <c r="A70" s="1128">
        <v>8.4</v>
      </c>
      <c r="B70" s="915" t="s">
        <v>740</v>
      </c>
      <c r="C70" s="909">
        <f t="shared" si="12"/>
        <v>61639082</v>
      </c>
      <c r="D70" s="910">
        <v>36182186</v>
      </c>
      <c r="E70" s="910">
        <v>25456896</v>
      </c>
      <c r="F70" s="911">
        <v>6095402</v>
      </c>
      <c r="G70" s="911">
        <v>0</v>
      </c>
      <c r="H70" s="909">
        <f t="shared" si="13"/>
        <v>55543680</v>
      </c>
      <c r="I70" s="909">
        <f t="shared" si="14"/>
        <v>30395610</v>
      </c>
      <c r="J70" s="910">
        <v>5190886</v>
      </c>
      <c r="K70" s="910">
        <v>535045</v>
      </c>
      <c r="L70" s="910">
        <v>0</v>
      </c>
      <c r="M70" s="910">
        <v>24408484</v>
      </c>
      <c r="N70" s="910">
        <v>261195</v>
      </c>
      <c r="O70" s="910">
        <v>0</v>
      </c>
      <c r="P70" s="910">
        <v>0</v>
      </c>
      <c r="Q70" s="912">
        <v>0</v>
      </c>
      <c r="R70" s="916">
        <v>25148070</v>
      </c>
      <c r="S70" s="913">
        <f t="shared" si="17"/>
        <v>49817749</v>
      </c>
      <c r="T70" s="914">
        <f t="shared" si="6"/>
        <v>18.83801970087128</v>
      </c>
      <c r="U70" s="819">
        <f t="shared" si="2"/>
        <v>0</v>
      </c>
      <c r="V70" s="1165">
        <f t="shared" si="3"/>
        <v>54.72379575858135</v>
      </c>
      <c r="W70" s="1158">
        <f t="shared" si="4"/>
        <v>24669679</v>
      </c>
    </row>
    <row r="71" spans="1:23" s="437" customFormat="1" ht="21" customHeight="1" thickTop="1">
      <c r="A71" s="1126" t="s">
        <v>78</v>
      </c>
      <c r="B71" s="791" t="s">
        <v>741</v>
      </c>
      <c r="C71" s="792">
        <f>SUM(C72:C74)</f>
        <v>57148244</v>
      </c>
      <c r="D71" s="792">
        <f aca="true" t="shared" si="24" ref="D71:R71">SUM(D72:D74)</f>
        <v>33210336</v>
      </c>
      <c r="E71" s="792">
        <f t="shared" si="24"/>
        <v>23937908</v>
      </c>
      <c r="F71" s="792">
        <f t="shared" si="24"/>
        <v>1408362</v>
      </c>
      <c r="G71" s="792">
        <f t="shared" si="24"/>
        <v>0</v>
      </c>
      <c r="H71" s="792">
        <f t="shared" si="24"/>
        <v>55739882</v>
      </c>
      <c r="I71" s="792">
        <f t="shared" si="24"/>
        <v>32015313</v>
      </c>
      <c r="J71" s="792">
        <f t="shared" si="24"/>
        <v>5044290</v>
      </c>
      <c r="K71" s="792">
        <f t="shared" si="24"/>
        <v>1118761</v>
      </c>
      <c r="L71" s="792">
        <f t="shared" si="24"/>
        <v>0</v>
      </c>
      <c r="M71" s="792">
        <f t="shared" si="24"/>
        <v>25339179</v>
      </c>
      <c r="N71" s="792">
        <f t="shared" si="24"/>
        <v>513083</v>
      </c>
      <c r="O71" s="792">
        <f t="shared" si="24"/>
        <v>0</v>
      </c>
      <c r="P71" s="792">
        <f t="shared" si="24"/>
        <v>0</v>
      </c>
      <c r="Q71" s="792">
        <f t="shared" si="24"/>
        <v>0</v>
      </c>
      <c r="R71" s="792">
        <f t="shared" si="24"/>
        <v>23724569</v>
      </c>
      <c r="S71" s="794">
        <f t="shared" si="17"/>
        <v>49576831</v>
      </c>
      <c r="T71" s="793">
        <f t="shared" si="6"/>
        <v>19.250322494113988</v>
      </c>
      <c r="U71" s="819">
        <f t="shared" si="2"/>
        <v>0</v>
      </c>
      <c r="V71" s="1166">
        <f t="shared" si="3"/>
        <v>57.43699457419016</v>
      </c>
      <c r="W71" s="1167">
        <f t="shared" si="4"/>
        <v>25852262</v>
      </c>
    </row>
    <row r="72" spans="1:23" s="437" customFormat="1" ht="22.5" customHeight="1">
      <c r="A72" s="1127">
        <v>9.1</v>
      </c>
      <c r="B72" s="901" t="s">
        <v>742</v>
      </c>
      <c r="C72" s="786">
        <f t="shared" si="12"/>
        <v>24526058</v>
      </c>
      <c r="D72" s="902">
        <v>22625443</v>
      </c>
      <c r="E72" s="902">
        <v>1900615</v>
      </c>
      <c r="F72" s="903">
        <v>8345</v>
      </c>
      <c r="G72" s="903">
        <v>0</v>
      </c>
      <c r="H72" s="786">
        <f t="shared" si="13"/>
        <v>24517713</v>
      </c>
      <c r="I72" s="786">
        <f t="shared" si="14"/>
        <v>5334582</v>
      </c>
      <c r="J72" s="902">
        <v>1474080</v>
      </c>
      <c r="K72" s="902">
        <v>350152</v>
      </c>
      <c r="L72" s="902">
        <v>0</v>
      </c>
      <c r="M72" s="902">
        <v>3497870</v>
      </c>
      <c r="N72" s="902">
        <v>12480</v>
      </c>
      <c r="O72" s="902">
        <v>0</v>
      </c>
      <c r="P72" s="902">
        <v>0</v>
      </c>
      <c r="Q72" s="904">
        <v>0</v>
      </c>
      <c r="R72" s="789">
        <v>19183131</v>
      </c>
      <c r="S72" s="905">
        <f t="shared" si="17"/>
        <v>22693481</v>
      </c>
      <c r="T72" s="906">
        <f t="shared" si="6"/>
        <v>34.196343781012274</v>
      </c>
      <c r="U72" s="819">
        <f t="shared" si="2"/>
        <v>0</v>
      </c>
      <c r="V72" s="1165">
        <f t="shared" si="3"/>
        <v>21.758073438578876</v>
      </c>
      <c r="W72" s="1158">
        <f t="shared" si="4"/>
        <v>3510350</v>
      </c>
    </row>
    <row r="73" spans="1:23" s="437" customFormat="1" ht="21.75" customHeight="1">
      <c r="A73" s="1129">
        <v>9.2</v>
      </c>
      <c r="B73" s="901" t="s">
        <v>743</v>
      </c>
      <c r="C73" s="786">
        <f t="shared" si="12"/>
        <v>25780579</v>
      </c>
      <c r="D73" s="902">
        <v>7356098</v>
      </c>
      <c r="E73" s="902">
        <v>18424481</v>
      </c>
      <c r="F73" s="903">
        <v>1312232</v>
      </c>
      <c r="G73" s="903">
        <v>0</v>
      </c>
      <c r="H73" s="786">
        <f t="shared" si="13"/>
        <v>24468347</v>
      </c>
      <c r="I73" s="786">
        <f t="shared" si="14"/>
        <v>22574866</v>
      </c>
      <c r="J73" s="902">
        <v>2342197</v>
      </c>
      <c r="K73" s="902">
        <v>338098</v>
      </c>
      <c r="L73" s="902">
        <v>0</v>
      </c>
      <c r="M73" s="902">
        <v>19894571</v>
      </c>
      <c r="N73" s="902">
        <v>0</v>
      </c>
      <c r="O73" s="902">
        <v>0</v>
      </c>
      <c r="P73" s="902">
        <v>0</v>
      </c>
      <c r="Q73" s="904">
        <v>0</v>
      </c>
      <c r="R73" s="789">
        <v>1893481</v>
      </c>
      <c r="S73" s="905">
        <f t="shared" si="17"/>
        <v>21788052</v>
      </c>
      <c r="T73" s="906">
        <f t="shared" si="6"/>
        <v>11.872916543557778</v>
      </c>
      <c r="U73" s="819">
        <f t="shared" si="2"/>
        <v>0</v>
      </c>
      <c r="V73" s="1165">
        <f t="shared" si="3"/>
        <v>92.26150830703847</v>
      </c>
      <c r="W73" s="1158">
        <f t="shared" si="4"/>
        <v>19894571</v>
      </c>
    </row>
    <row r="74" spans="1:23" s="437" customFormat="1" ht="21.75" customHeight="1" thickBot="1">
      <c r="A74" s="1128">
        <v>9.3</v>
      </c>
      <c r="B74" s="1136" t="s">
        <v>744</v>
      </c>
      <c r="C74" s="909">
        <f t="shared" si="12"/>
        <v>6841607</v>
      </c>
      <c r="D74" s="910">
        <v>3228795</v>
      </c>
      <c r="E74" s="910">
        <v>3612812</v>
      </c>
      <c r="F74" s="911">
        <v>87785</v>
      </c>
      <c r="G74" s="911">
        <v>0</v>
      </c>
      <c r="H74" s="909">
        <f t="shared" si="13"/>
        <v>6753822</v>
      </c>
      <c r="I74" s="909">
        <f t="shared" si="14"/>
        <v>4105865</v>
      </c>
      <c r="J74" s="910">
        <v>1228013</v>
      </c>
      <c r="K74" s="910">
        <v>430511</v>
      </c>
      <c r="L74" s="910">
        <v>0</v>
      </c>
      <c r="M74" s="910">
        <v>1946738</v>
      </c>
      <c r="N74" s="910">
        <v>500603</v>
      </c>
      <c r="O74" s="910">
        <v>0</v>
      </c>
      <c r="P74" s="910">
        <v>0</v>
      </c>
      <c r="Q74" s="912">
        <v>0</v>
      </c>
      <c r="R74" s="916">
        <v>2647957</v>
      </c>
      <c r="S74" s="913">
        <f t="shared" si="17"/>
        <v>5095298</v>
      </c>
      <c r="T74" s="914">
        <f t="shared" si="6"/>
        <v>40.39402172258465</v>
      </c>
      <c r="U74" s="819">
        <f t="shared" si="2"/>
        <v>0</v>
      </c>
      <c r="V74" s="1165">
        <f t="shared" si="3"/>
        <v>60.79320716477278</v>
      </c>
      <c r="W74" s="1158">
        <f t="shared" si="4"/>
        <v>2447341</v>
      </c>
    </row>
    <row r="75" spans="1:23" s="437" customFormat="1" ht="20.25" customHeight="1" thickTop="1">
      <c r="A75" s="1126" t="s">
        <v>101</v>
      </c>
      <c r="B75" s="791" t="s">
        <v>745</v>
      </c>
      <c r="C75" s="792">
        <f>SUM(C76:C77)</f>
        <v>2392603</v>
      </c>
      <c r="D75" s="792">
        <f aca="true" t="shared" si="25" ref="D75:R75">SUM(D76:D77)</f>
        <v>1997404</v>
      </c>
      <c r="E75" s="792">
        <f t="shared" si="25"/>
        <v>395199</v>
      </c>
      <c r="F75" s="792">
        <f t="shared" si="25"/>
        <v>200</v>
      </c>
      <c r="G75" s="792">
        <f t="shared" si="25"/>
        <v>0</v>
      </c>
      <c r="H75" s="792">
        <f t="shared" si="25"/>
        <v>2392403</v>
      </c>
      <c r="I75" s="792">
        <f t="shared" si="25"/>
        <v>1732944</v>
      </c>
      <c r="J75" s="792">
        <f t="shared" si="25"/>
        <v>453178</v>
      </c>
      <c r="K75" s="792">
        <f t="shared" si="25"/>
        <v>167876</v>
      </c>
      <c r="L75" s="792">
        <f t="shared" si="25"/>
        <v>0</v>
      </c>
      <c r="M75" s="792">
        <f t="shared" si="25"/>
        <v>1108290</v>
      </c>
      <c r="N75" s="792">
        <f t="shared" si="25"/>
        <v>3600</v>
      </c>
      <c r="O75" s="792">
        <f t="shared" si="25"/>
        <v>0</v>
      </c>
      <c r="P75" s="792">
        <f t="shared" si="25"/>
        <v>0</v>
      </c>
      <c r="Q75" s="792">
        <f t="shared" si="25"/>
        <v>0</v>
      </c>
      <c r="R75" s="792">
        <f t="shared" si="25"/>
        <v>659459</v>
      </c>
      <c r="S75" s="794">
        <f t="shared" si="17"/>
        <v>1771349</v>
      </c>
      <c r="T75" s="793">
        <f t="shared" si="6"/>
        <v>35.83808824751406</v>
      </c>
      <c r="U75" s="819">
        <f t="shared" si="2"/>
        <v>0</v>
      </c>
      <c r="V75" s="1166">
        <f t="shared" si="3"/>
        <v>72.43528786747049</v>
      </c>
      <c r="W75" s="1167">
        <f t="shared" si="4"/>
        <v>1111890</v>
      </c>
    </row>
    <row r="76" spans="1:23" s="437" customFormat="1" ht="23.25" customHeight="1">
      <c r="A76" s="1151">
        <v>10.1</v>
      </c>
      <c r="B76" s="901" t="s">
        <v>746</v>
      </c>
      <c r="C76" s="786">
        <f t="shared" si="12"/>
        <v>326609</v>
      </c>
      <c r="D76" s="902">
        <v>264719</v>
      </c>
      <c r="E76" s="902">
        <v>61890</v>
      </c>
      <c r="F76" s="903">
        <v>200</v>
      </c>
      <c r="G76" s="903">
        <v>0</v>
      </c>
      <c r="H76" s="786">
        <f t="shared" si="13"/>
        <v>326409</v>
      </c>
      <c r="I76" s="786">
        <f t="shared" si="14"/>
        <v>207637</v>
      </c>
      <c r="J76" s="902">
        <v>93635</v>
      </c>
      <c r="K76" s="902">
        <v>0</v>
      </c>
      <c r="L76" s="902">
        <v>0</v>
      </c>
      <c r="M76" s="902">
        <v>114002</v>
      </c>
      <c r="N76" s="902">
        <v>0</v>
      </c>
      <c r="O76" s="902">
        <v>0</v>
      </c>
      <c r="P76" s="902">
        <v>0</v>
      </c>
      <c r="Q76" s="904">
        <v>0</v>
      </c>
      <c r="R76" s="789">
        <v>118772</v>
      </c>
      <c r="S76" s="905">
        <f t="shared" si="17"/>
        <v>232774</v>
      </c>
      <c r="T76" s="906">
        <f t="shared" si="6"/>
        <v>45.09552729041548</v>
      </c>
      <c r="U76" s="819">
        <f>R76+I76+F76-C76</f>
        <v>0</v>
      </c>
      <c r="V76" s="1165">
        <f>(J76+K76+L76+M76+N76+O76+P76+Q76)/H76*100</f>
        <v>63.612522939012095</v>
      </c>
      <c r="W76" s="1158">
        <f>M76+N76+O76+P76+Q76</f>
        <v>114002</v>
      </c>
    </row>
    <row r="77" spans="1:23" s="437" customFormat="1" ht="23.25" customHeight="1" thickBot="1">
      <c r="A77" s="1128">
        <v>10.2</v>
      </c>
      <c r="B77" s="908" t="s">
        <v>747</v>
      </c>
      <c r="C77" s="909">
        <f t="shared" si="12"/>
        <v>2065994</v>
      </c>
      <c r="D77" s="910">
        <v>1732685</v>
      </c>
      <c r="E77" s="910">
        <v>333309</v>
      </c>
      <c r="F77" s="911">
        <v>0</v>
      </c>
      <c r="G77" s="911">
        <v>0</v>
      </c>
      <c r="H77" s="909">
        <f t="shared" si="13"/>
        <v>2065994</v>
      </c>
      <c r="I77" s="909">
        <f t="shared" si="14"/>
        <v>1525307</v>
      </c>
      <c r="J77" s="910">
        <v>359543</v>
      </c>
      <c r="K77" s="910">
        <v>167876</v>
      </c>
      <c r="L77" s="910">
        <v>0</v>
      </c>
      <c r="M77" s="910">
        <v>994288</v>
      </c>
      <c r="N77" s="910">
        <v>3600</v>
      </c>
      <c r="O77" s="910">
        <v>0</v>
      </c>
      <c r="P77" s="910">
        <v>0</v>
      </c>
      <c r="Q77" s="912">
        <v>0</v>
      </c>
      <c r="R77" s="916">
        <v>540687</v>
      </c>
      <c r="S77" s="913">
        <f t="shared" si="17"/>
        <v>1538575</v>
      </c>
      <c r="T77" s="914">
        <f>(J77+K77+L77)/I77*100</f>
        <v>34.57789153265539</v>
      </c>
      <c r="U77" s="819">
        <f>R77+I77+F77-C77</f>
        <v>0</v>
      </c>
      <c r="V77" s="1165">
        <f>(J77+K77+L77+M77+N77+O77+P77+Q77)/H77*100</f>
        <v>73.82920763564657</v>
      </c>
      <c r="W77" s="1158">
        <f>M77+N77+O77+P77+Q77</f>
        <v>997888</v>
      </c>
    </row>
    <row r="78" spans="1:20" s="433" customFormat="1" ht="25.5" customHeight="1" thickTop="1">
      <c r="A78" s="1620"/>
      <c r="B78" s="1620"/>
      <c r="C78" s="1620"/>
      <c r="D78" s="1620"/>
      <c r="E78" s="1620"/>
      <c r="F78" s="930"/>
      <c r="G78" s="898"/>
      <c r="H78" s="898"/>
      <c r="I78" s="898"/>
      <c r="J78" s="898"/>
      <c r="K78" s="898"/>
      <c r="L78" s="898"/>
      <c r="M78" s="898"/>
      <c r="N78" s="898"/>
      <c r="O78" s="1524" t="str">
        <f>'Thong tin'!B9</f>
        <v>Bình Thuận, ngày 04 tháng 10 năm 2016</v>
      </c>
      <c r="P78" s="1524"/>
      <c r="Q78" s="1524"/>
      <c r="R78" s="1524"/>
      <c r="S78" s="1524"/>
      <c r="T78" s="1524"/>
    </row>
    <row r="79" spans="1:20" s="493" customFormat="1" ht="19.5" customHeight="1">
      <c r="A79" s="899"/>
      <c r="B79" s="1573" t="s">
        <v>4</v>
      </c>
      <c r="C79" s="1573"/>
      <c r="D79" s="1573"/>
      <c r="E79" s="1573"/>
      <c r="F79" s="867"/>
      <c r="G79" s="867"/>
      <c r="H79" s="867"/>
      <c r="I79" s="867"/>
      <c r="J79" s="867"/>
      <c r="K79" s="867"/>
      <c r="L79" s="867"/>
      <c r="M79" s="867"/>
      <c r="N79" s="867"/>
      <c r="O79" s="1519" t="str">
        <f>'Thong tin'!B7</f>
        <v>KT. CỤC TRƯỞNG</v>
      </c>
      <c r="P79" s="1519"/>
      <c r="Q79" s="1519"/>
      <c r="R79" s="1519"/>
      <c r="S79" s="1519"/>
      <c r="T79" s="1519"/>
    </row>
    <row r="80" spans="1:20" ht="16.5">
      <c r="A80" s="865"/>
      <c r="B80" s="1541"/>
      <c r="C80" s="1541"/>
      <c r="D80" s="1541"/>
      <c r="E80" s="851"/>
      <c r="F80" s="851"/>
      <c r="G80" s="851"/>
      <c r="H80" s="851"/>
      <c r="I80" s="851"/>
      <c r="J80" s="851"/>
      <c r="K80" s="851"/>
      <c r="L80" s="851"/>
      <c r="M80" s="851"/>
      <c r="N80" s="851"/>
      <c r="O80" s="1537" t="str">
        <f>'Thong tin'!B8</f>
        <v>PHÓ CỤC TRƯỞNG</v>
      </c>
      <c r="P80" s="1537"/>
      <c r="Q80" s="1537"/>
      <c r="R80" s="1537"/>
      <c r="S80" s="1537"/>
      <c r="T80" s="1537"/>
    </row>
    <row r="81" spans="1:20" ht="16.5">
      <c r="A81" s="865"/>
      <c r="B81" s="865"/>
      <c r="C81" s="865"/>
      <c r="D81" s="851"/>
      <c r="E81" s="851"/>
      <c r="F81" s="851"/>
      <c r="G81" s="851"/>
      <c r="H81" s="851"/>
      <c r="I81" s="851"/>
      <c r="J81" s="851"/>
      <c r="K81" s="851"/>
      <c r="L81" s="851"/>
      <c r="M81" s="851"/>
      <c r="N81" s="851"/>
      <c r="O81" s="851"/>
      <c r="P81" s="851"/>
      <c r="Q81" s="851"/>
      <c r="R81" s="851"/>
      <c r="S81" s="865"/>
      <c r="T81" s="865"/>
    </row>
    <row r="82" spans="1:20" ht="16.5">
      <c r="A82" s="865"/>
      <c r="B82" s="1592"/>
      <c r="C82" s="1592"/>
      <c r="D82" s="1592"/>
      <c r="E82" s="851"/>
      <c r="F82" s="851"/>
      <c r="G82" s="851"/>
      <c r="H82" s="851"/>
      <c r="I82" s="851"/>
      <c r="J82" s="851"/>
      <c r="K82" s="851"/>
      <c r="L82" s="851"/>
      <c r="M82" s="851"/>
      <c r="N82" s="851"/>
      <c r="O82" s="851"/>
      <c r="P82" s="851"/>
      <c r="Q82" s="1592"/>
      <c r="R82" s="1592"/>
      <c r="S82" s="1592"/>
      <c r="T82" s="865"/>
    </row>
    <row r="83" spans="1:20" ht="15.75" customHeight="1">
      <c r="A83" s="900"/>
      <c r="B83" s="865"/>
      <c r="C83" s="865"/>
      <c r="D83" s="851"/>
      <c r="E83" s="851"/>
      <c r="F83" s="851"/>
      <c r="G83" s="851"/>
      <c r="H83" s="851"/>
      <c r="I83" s="851"/>
      <c r="J83" s="851"/>
      <c r="K83" s="851"/>
      <c r="L83" s="851"/>
      <c r="M83" s="851"/>
      <c r="N83" s="851"/>
      <c r="O83" s="851"/>
      <c r="P83" s="851"/>
      <c r="Q83" s="851"/>
      <c r="R83" s="851"/>
      <c r="S83" s="865"/>
      <c r="T83" s="865"/>
    </row>
    <row r="84" spans="1:20" ht="15.75" customHeight="1">
      <c r="A84" s="865"/>
      <c r="B84" s="1630"/>
      <c r="C84" s="1630"/>
      <c r="D84" s="1630"/>
      <c r="E84" s="1630"/>
      <c r="F84" s="1630"/>
      <c r="G84" s="1630"/>
      <c r="H84" s="1630"/>
      <c r="I84" s="1630"/>
      <c r="J84" s="1630"/>
      <c r="K84" s="1630"/>
      <c r="L84" s="1630"/>
      <c r="M84" s="1630"/>
      <c r="N84" s="1630"/>
      <c r="O84" s="1630"/>
      <c r="P84" s="1630"/>
      <c r="Q84" s="851"/>
      <c r="R84" s="851"/>
      <c r="S84" s="865"/>
      <c r="T84" s="865"/>
    </row>
    <row r="85" spans="1:20" ht="16.5">
      <c r="A85" s="868"/>
      <c r="B85" s="868"/>
      <c r="C85" s="868"/>
      <c r="D85" s="868"/>
      <c r="E85" s="868"/>
      <c r="F85" s="868"/>
      <c r="G85" s="868"/>
      <c r="H85" s="868"/>
      <c r="I85" s="868"/>
      <c r="J85" s="868"/>
      <c r="K85" s="868"/>
      <c r="L85" s="868"/>
      <c r="M85" s="868"/>
      <c r="N85" s="868"/>
      <c r="O85" s="868"/>
      <c r="P85" s="868"/>
      <c r="Q85" s="868"/>
      <c r="R85" s="865"/>
      <c r="S85" s="865"/>
      <c r="T85" s="865"/>
    </row>
    <row r="86" spans="1:20" ht="16.5">
      <c r="A86" s="865"/>
      <c r="B86" s="1537" t="str">
        <f>'Thong tin'!B5</f>
        <v>Trần Quốc Bảo</v>
      </c>
      <c r="C86" s="1537"/>
      <c r="D86" s="1537"/>
      <c r="E86" s="1537"/>
      <c r="F86" s="865"/>
      <c r="G86" s="865"/>
      <c r="H86" s="865"/>
      <c r="I86" s="865"/>
      <c r="J86" s="865"/>
      <c r="K86" s="865"/>
      <c r="L86" s="865"/>
      <c r="M86" s="865"/>
      <c r="N86" s="865"/>
      <c r="O86" s="1537" t="str">
        <f>'Thong tin'!B6</f>
        <v>Trần Nam</v>
      </c>
      <c r="P86" s="1537"/>
      <c r="Q86" s="1537"/>
      <c r="R86" s="1537"/>
      <c r="S86" s="1537"/>
      <c r="T86" s="1537"/>
    </row>
    <row r="87" spans="2:20" ht="18.75">
      <c r="B87" s="1628"/>
      <c r="C87" s="1628"/>
      <c r="D87" s="1628"/>
      <c r="E87" s="1628"/>
      <c r="F87" s="437"/>
      <c r="G87" s="437"/>
      <c r="H87" s="437"/>
      <c r="I87" s="437"/>
      <c r="J87" s="437"/>
      <c r="K87" s="437"/>
      <c r="L87" s="437"/>
      <c r="M87" s="437"/>
      <c r="N87" s="437"/>
      <c r="O87" s="437"/>
      <c r="P87" s="1628"/>
      <c r="Q87" s="1628"/>
      <c r="R87" s="1628"/>
      <c r="S87" s="1628"/>
      <c r="T87" s="1629"/>
    </row>
  </sheetData>
  <sheetProtection/>
  <mergeCells count="39">
    <mergeCell ref="B87:E87"/>
    <mergeCell ref="P87:T87"/>
    <mergeCell ref="B86:E86"/>
    <mergeCell ref="B84:P84"/>
    <mergeCell ref="O86:T86"/>
    <mergeCell ref="A3:D3"/>
    <mergeCell ref="A78:E78"/>
    <mergeCell ref="Q82:S82"/>
    <mergeCell ref="B82:D82"/>
    <mergeCell ref="A11:B11"/>
    <mergeCell ref="A6:B9"/>
    <mergeCell ref="C6:E6"/>
    <mergeCell ref="C7:C9"/>
    <mergeCell ref="B79:E79"/>
    <mergeCell ref="A10:B10"/>
    <mergeCell ref="A2:D2"/>
    <mergeCell ref="Q2:T2"/>
    <mergeCell ref="Q4:T4"/>
    <mergeCell ref="O80:T80"/>
    <mergeCell ref="B80:D80"/>
    <mergeCell ref="O79:T79"/>
    <mergeCell ref="T6:T9"/>
    <mergeCell ref="I7:Q7"/>
    <mergeCell ref="O78:T78"/>
    <mergeCell ref="S6:S9"/>
    <mergeCell ref="E1:P1"/>
    <mergeCell ref="E2:P2"/>
    <mergeCell ref="E3:P3"/>
    <mergeCell ref="F6:F9"/>
    <mergeCell ref="G6:G9"/>
    <mergeCell ref="H6:R6"/>
    <mergeCell ref="Q5:T5"/>
    <mergeCell ref="D7:E7"/>
    <mergeCell ref="D8:D9"/>
    <mergeCell ref="E8:E9"/>
    <mergeCell ref="R7:R9"/>
    <mergeCell ref="I8:I9"/>
    <mergeCell ref="J8:Q8"/>
    <mergeCell ref="H7:H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9"/>
  <sheetViews>
    <sheetView view="pageBreakPreview" zoomScaleSheetLayoutView="100" zoomScalePageLayoutView="0" workbookViewId="0" topLeftCell="A1">
      <selection activeCell="J22" sqref="J22"/>
    </sheetView>
  </sheetViews>
  <sheetFormatPr defaultColWidth="9.00390625" defaultRowHeight="15.75"/>
  <cols>
    <col min="1" max="1" width="3.75390625" style="512" customWidth="1"/>
    <col min="2" max="2" width="22.125" style="512" customWidth="1"/>
    <col min="3" max="3" width="7.50390625" style="512" customWidth="1"/>
    <col min="4" max="4" width="12.375" style="512" customWidth="1"/>
    <col min="5" max="5" width="8.50390625" style="512" customWidth="1"/>
    <col min="6" max="6" width="12.625" style="512" customWidth="1"/>
    <col min="7" max="7" width="8.00390625" style="512" customWidth="1"/>
    <col min="8" max="8" width="11.25390625" style="512" customWidth="1"/>
    <col min="9" max="9" width="7.125" style="512" customWidth="1"/>
    <col min="10" max="10" width="11.25390625" style="512" customWidth="1"/>
    <col min="11" max="11" width="7.375" style="512" customWidth="1"/>
    <col min="12" max="12" width="10.50390625" style="512" customWidth="1"/>
    <col min="13" max="13" width="6.00390625" style="512" customWidth="1"/>
    <col min="14" max="14" width="10.875" style="512" customWidth="1"/>
    <col min="15" max="16384" width="9.00390625" style="512" customWidth="1"/>
  </cols>
  <sheetData>
    <row r="1" spans="1:14" ht="18" customHeight="1">
      <c r="A1" s="695" t="s">
        <v>36</v>
      </c>
      <c r="B1" s="490"/>
      <c r="C1" s="490"/>
      <c r="D1" s="487"/>
      <c r="E1" s="1631" t="s">
        <v>582</v>
      </c>
      <c r="F1" s="1631"/>
      <c r="G1" s="1631"/>
      <c r="H1" s="1631"/>
      <c r="I1" s="1631"/>
      <c r="J1" s="1631"/>
      <c r="K1" s="1631"/>
      <c r="L1" s="511" t="s">
        <v>583</v>
      </c>
      <c r="M1" s="511"/>
      <c r="N1" s="511"/>
    </row>
    <row r="2" spans="1:14" ht="15.75" customHeight="1">
      <c r="A2" s="1613" t="s">
        <v>342</v>
      </c>
      <c r="B2" s="1613"/>
      <c r="C2" s="1613"/>
      <c r="D2" s="1613"/>
      <c r="E2" s="1631"/>
      <c r="F2" s="1631"/>
      <c r="G2" s="1631"/>
      <c r="H2" s="1631"/>
      <c r="I2" s="1631"/>
      <c r="J2" s="1631"/>
      <c r="K2" s="1631"/>
      <c r="L2" s="1632" t="str">
        <f>'Thong tin'!B4</f>
        <v>Cục THADS tỉnh Bình Thuận</v>
      </c>
      <c r="M2" s="1632"/>
      <c r="N2" s="1632"/>
    </row>
    <row r="3" spans="1:14" ht="16.5" customHeight="1">
      <c r="A3" s="1619" t="s">
        <v>343</v>
      </c>
      <c r="B3" s="1619"/>
      <c r="C3" s="1619"/>
      <c r="D3" s="1619"/>
      <c r="E3" s="1633" t="str">
        <f>'Thong tin'!B3</f>
        <v>12 tháng / năm 2016</v>
      </c>
      <c r="F3" s="1633"/>
      <c r="G3" s="1633"/>
      <c r="H3" s="1633"/>
      <c r="I3" s="1633"/>
      <c r="J3" s="1633"/>
      <c r="K3" s="514"/>
      <c r="L3" s="1634" t="s">
        <v>652</v>
      </c>
      <c r="M3" s="1634"/>
      <c r="N3" s="1634"/>
    </row>
    <row r="4" spans="1:14" ht="15.75" customHeight="1">
      <c r="A4" s="489" t="s">
        <v>217</v>
      </c>
      <c r="B4" s="455"/>
      <c r="C4" s="455"/>
      <c r="D4" s="455"/>
      <c r="E4" s="516"/>
      <c r="F4" s="517"/>
      <c r="G4" s="517"/>
      <c r="H4" s="517"/>
      <c r="I4" s="517"/>
      <c r="J4" s="517"/>
      <c r="L4" s="1635" t="s">
        <v>410</v>
      </c>
      <c r="M4" s="1635"/>
      <c r="N4" s="1635"/>
    </row>
    <row r="5" spans="1:14" ht="18" customHeight="1">
      <c r="A5" s="517"/>
      <c r="D5" s="1636"/>
      <c r="E5" s="1636"/>
      <c r="F5" s="1636"/>
      <c r="G5" s="1636"/>
      <c r="H5" s="1636"/>
      <c r="I5" s="1636"/>
      <c r="J5" s="1636"/>
      <c r="K5" s="1636"/>
      <c r="L5" s="518" t="s">
        <v>363</v>
      </c>
      <c r="M5" s="518"/>
      <c r="N5" s="518"/>
    </row>
    <row r="6" spans="1:14" ht="18" customHeight="1">
      <c r="A6" s="1637" t="s">
        <v>72</v>
      </c>
      <c r="B6" s="1638"/>
      <c r="C6" s="1641" t="s">
        <v>364</v>
      </c>
      <c r="D6" s="1641"/>
      <c r="E6" s="1641"/>
      <c r="F6" s="1641"/>
      <c r="G6" s="1642" t="s">
        <v>7</v>
      </c>
      <c r="H6" s="1643"/>
      <c r="I6" s="1643"/>
      <c r="J6" s="1643"/>
      <c r="K6" s="1643"/>
      <c r="L6" s="1643"/>
      <c r="M6" s="1643"/>
      <c r="N6" s="1644"/>
    </row>
    <row r="7" spans="1:14" ht="33.75" customHeight="1">
      <c r="A7" s="1639"/>
      <c r="B7" s="1640"/>
      <c r="C7" s="1641"/>
      <c r="D7" s="1641"/>
      <c r="E7" s="1641"/>
      <c r="F7" s="1641"/>
      <c r="G7" s="1642" t="s">
        <v>366</v>
      </c>
      <c r="H7" s="1643"/>
      <c r="I7" s="1643"/>
      <c r="J7" s="1644"/>
      <c r="K7" s="1642" t="s">
        <v>110</v>
      </c>
      <c r="L7" s="1643"/>
      <c r="M7" s="1643"/>
      <c r="N7" s="1644"/>
    </row>
    <row r="8" spans="1:14" ht="28.5" customHeight="1">
      <c r="A8" s="1639"/>
      <c r="B8" s="1640"/>
      <c r="C8" s="1642" t="s">
        <v>107</v>
      </c>
      <c r="D8" s="1644"/>
      <c r="E8" s="1642" t="s">
        <v>106</v>
      </c>
      <c r="F8" s="1644"/>
      <c r="G8" s="1642" t="s">
        <v>108</v>
      </c>
      <c r="H8" s="1645"/>
      <c r="I8" s="1642" t="s">
        <v>109</v>
      </c>
      <c r="J8" s="1645"/>
      <c r="K8" s="1642" t="s">
        <v>111</v>
      </c>
      <c r="L8" s="1645"/>
      <c r="M8" s="1642" t="s">
        <v>112</v>
      </c>
      <c r="N8" s="1645"/>
    </row>
    <row r="9" spans="1:14" ht="24.75" customHeight="1">
      <c r="A9" s="1639"/>
      <c r="B9" s="1640"/>
      <c r="C9" s="665" t="s">
        <v>3</v>
      </c>
      <c r="D9" s="664" t="s">
        <v>10</v>
      </c>
      <c r="E9" s="664" t="s">
        <v>3</v>
      </c>
      <c r="F9" s="664" t="s">
        <v>10</v>
      </c>
      <c r="G9" s="664" t="s">
        <v>3</v>
      </c>
      <c r="H9" s="664" t="s">
        <v>10</v>
      </c>
      <c r="I9" s="664" t="s">
        <v>3</v>
      </c>
      <c r="J9" s="664" t="s">
        <v>10</v>
      </c>
      <c r="K9" s="664" t="s">
        <v>3</v>
      </c>
      <c r="L9" s="664" t="s">
        <v>10</v>
      </c>
      <c r="M9" s="664" t="s">
        <v>3</v>
      </c>
      <c r="N9" s="664" t="s">
        <v>10</v>
      </c>
    </row>
    <row r="10" spans="1:14" s="519" customFormat="1" ht="16.5" customHeight="1">
      <c r="A10" s="1646" t="s">
        <v>6</v>
      </c>
      <c r="B10" s="1646"/>
      <c r="C10" s="1169">
        <v>1</v>
      </c>
      <c r="D10" s="1169">
        <v>2</v>
      </c>
      <c r="E10" s="1169">
        <v>3</v>
      </c>
      <c r="F10" s="1169">
        <v>4</v>
      </c>
      <c r="G10" s="1169">
        <v>5</v>
      </c>
      <c r="H10" s="1169">
        <v>6</v>
      </c>
      <c r="I10" s="1169">
        <v>7</v>
      </c>
      <c r="J10" s="1169">
        <v>8</v>
      </c>
      <c r="K10" s="1169">
        <v>9</v>
      </c>
      <c r="L10" s="1169">
        <v>10</v>
      </c>
      <c r="M10" s="1169">
        <v>11</v>
      </c>
      <c r="N10" s="1169">
        <v>12</v>
      </c>
    </row>
    <row r="11" spans="1:14" s="519" customFormat="1" ht="21" customHeight="1">
      <c r="A11" s="1647" t="s">
        <v>38</v>
      </c>
      <c r="B11" s="1648"/>
      <c r="C11" s="783">
        <f>C12+C13</f>
        <v>162</v>
      </c>
      <c r="D11" s="783">
        <f>D12+D13</f>
        <v>227224</v>
      </c>
      <c r="E11" s="783">
        <f>E12+E13</f>
        <v>157</v>
      </c>
      <c r="F11" s="783">
        <f aca="true" t="shared" si="0" ref="F11:N11">F12+F13</f>
        <v>221910</v>
      </c>
      <c r="G11" s="783">
        <f t="shared" si="0"/>
        <v>142</v>
      </c>
      <c r="H11" s="783">
        <f t="shared" si="0"/>
        <v>191258</v>
      </c>
      <c r="I11" s="783">
        <f t="shared" si="0"/>
        <v>137</v>
      </c>
      <c r="J11" s="783">
        <f t="shared" si="0"/>
        <v>185944</v>
      </c>
      <c r="K11" s="783">
        <f t="shared" si="0"/>
        <v>20</v>
      </c>
      <c r="L11" s="783">
        <f t="shared" si="0"/>
        <v>35966</v>
      </c>
      <c r="M11" s="783">
        <f t="shared" si="0"/>
        <v>20</v>
      </c>
      <c r="N11" s="783">
        <f t="shared" si="0"/>
        <v>35966</v>
      </c>
    </row>
    <row r="12" spans="1:14" s="519" customFormat="1" ht="19.5" customHeight="1">
      <c r="A12" s="784" t="s">
        <v>0</v>
      </c>
      <c r="B12" s="920" t="s">
        <v>683</v>
      </c>
      <c r="C12" s="783">
        <f>G12+K12</f>
        <v>5</v>
      </c>
      <c r="D12" s="921">
        <f>H12+L12</f>
        <v>7516</v>
      </c>
      <c r="E12" s="783">
        <f>I12+M12</f>
        <v>2</v>
      </c>
      <c r="F12" s="922">
        <f>J12+N12</f>
        <v>3882</v>
      </c>
      <c r="G12" s="923">
        <v>3</v>
      </c>
      <c r="H12" s="923">
        <v>3634</v>
      </c>
      <c r="I12" s="923">
        <v>0</v>
      </c>
      <c r="J12" s="923">
        <v>0</v>
      </c>
      <c r="K12" s="923">
        <v>2</v>
      </c>
      <c r="L12" s="923">
        <v>3882</v>
      </c>
      <c r="M12" s="923">
        <v>2</v>
      </c>
      <c r="N12" s="923">
        <v>3882</v>
      </c>
    </row>
    <row r="13" spans="1:14" s="519" customFormat="1" ht="21" customHeight="1">
      <c r="A13" s="780" t="s">
        <v>1</v>
      </c>
      <c r="B13" s="924" t="s">
        <v>19</v>
      </c>
      <c r="C13" s="783">
        <f>C14+C15+C16+C17+C18+C19+C20+C21+C22+C23</f>
        <v>157</v>
      </c>
      <c r="D13" s="783">
        <f>D14+D15+D16+D17+D18+D19+D20+D21+D22+D23</f>
        <v>219708</v>
      </c>
      <c r="E13" s="783">
        <f aca="true" t="shared" si="1" ref="E13:N13">E14+E15+E16+E17+E18+E19+E20+E21+E22+E23</f>
        <v>155</v>
      </c>
      <c r="F13" s="783">
        <f>F14+F15+F16+F17+F18+F19+F20+F21+F22+F23</f>
        <v>218028</v>
      </c>
      <c r="G13" s="783">
        <f t="shared" si="1"/>
        <v>139</v>
      </c>
      <c r="H13" s="783">
        <f t="shared" si="1"/>
        <v>187624</v>
      </c>
      <c r="I13" s="783">
        <f t="shared" si="1"/>
        <v>137</v>
      </c>
      <c r="J13" s="783">
        <f t="shared" si="1"/>
        <v>185944</v>
      </c>
      <c r="K13" s="783">
        <f t="shared" si="1"/>
        <v>18</v>
      </c>
      <c r="L13" s="783">
        <f t="shared" si="1"/>
        <v>32084</v>
      </c>
      <c r="M13" s="783">
        <f t="shared" si="1"/>
        <v>18</v>
      </c>
      <c r="N13" s="783">
        <f t="shared" si="1"/>
        <v>32084</v>
      </c>
    </row>
    <row r="14" spans="1:14" s="519" customFormat="1" ht="20.25" customHeight="1">
      <c r="A14" s="785" t="s">
        <v>52</v>
      </c>
      <c r="B14" s="745" t="s">
        <v>748</v>
      </c>
      <c r="C14" s="783">
        <f>G14+K14</f>
        <v>14</v>
      </c>
      <c r="D14" s="921">
        <f>H14+L14</f>
        <v>17685</v>
      </c>
      <c r="E14" s="783">
        <f>I14+M14</f>
        <v>14</v>
      </c>
      <c r="F14" s="922">
        <f>J14+N14</f>
        <v>17685</v>
      </c>
      <c r="G14" s="923">
        <v>0</v>
      </c>
      <c r="H14" s="923">
        <v>0</v>
      </c>
      <c r="I14" s="1069">
        <v>0</v>
      </c>
      <c r="J14" s="1069">
        <v>0</v>
      </c>
      <c r="K14" s="923">
        <v>14</v>
      </c>
      <c r="L14" s="923">
        <v>17685</v>
      </c>
      <c r="M14" s="923">
        <v>14</v>
      </c>
      <c r="N14" s="923">
        <v>17685</v>
      </c>
    </row>
    <row r="15" spans="1:14" s="519" customFormat="1" ht="20.25" customHeight="1">
      <c r="A15" s="785" t="s">
        <v>53</v>
      </c>
      <c r="B15" s="745" t="s">
        <v>749</v>
      </c>
      <c r="C15" s="783">
        <f aca="true" t="shared" si="2" ref="C15:C23">G15+K15</f>
        <v>53</v>
      </c>
      <c r="D15" s="921">
        <f aca="true" t="shared" si="3" ref="D15:D22">H15+L15</f>
        <v>49669</v>
      </c>
      <c r="E15" s="783">
        <f aca="true" t="shared" si="4" ref="E15:E23">I15+M15</f>
        <v>53</v>
      </c>
      <c r="F15" s="922">
        <f aca="true" t="shared" si="5" ref="F15:F22">J15+N15</f>
        <v>49669</v>
      </c>
      <c r="G15" s="923">
        <v>53</v>
      </c>
      <c r="H15" s="923">
        <v>49669</v>
      </c>
      <c r="I15" s="1069">
        <v>53</v>
      </c>
      <c r="J15" s="923">
        <v>49669</v>
      </c>
      <c r="K15" s="923">
        <v>0</v>
      </c>
      <c r="L15" s="923">
        <v>0</v>
      </c>
      <c r="M15" s="923">
        <v>0</v>
      </c>
      <c r="N15" s="923">
        <v>0</v>
      </c>
    </row>
    <row r="16" spans="1:14" s="519" customFormat="1" ht="21" customHeight="1">
      <c r="A16" s="785" t="s">
        <v>58</v>
      </c>
      <c r="B16" s="745" t="s">
        <v>750</v>
      </c>
      <c r="C16" s="783">
        <f t="shared" si="2"/>
        <v>10</v>
      </c>
      <c r="D16" s="921">
        <f t="shared" si="3"/>
        <v>17111</v>
      </c>
      <c r="E16" s="783">
        <f t="shared" si="4"/>
        <v>10</v>
      </c>
      <c r="F16" s="922">
        <f t="shared" si="5"/>
        <v>17111</v>
      </c>
      <c r="G16" s="923">
        <v>8</v>
      </c>
      <c r="H16" s="923">
        <v>11502</v>
      </c>
      <c r="I16" s="1069">
        <v>8</v>
      </c>
      <c r="J16" s="923">
        <v>11502</v>
      </c>
      <c r="K16" s="923">
        <v>2</v>
      </c>
      <c r="L16" s="923">
        <v>5609</v>
      </c>
      <c r="M16" s="923">
        <v>2</v>
      </c>
      <c r="N16" s="923">
        <v>5609</v>
      </c>
    </row>
    <row r="17" spans="1:14" s="519" customFormat="1" ht="20.25" customHeight="1">
      <c r="A17" s="785" t="s">
        <v>73</v>
      </c>
      <c r="B17" s="745" t="s">
        <v>751</v>
      </c>
      <c r="C17" s="783">
        <f t="shared" si="2"/>
        <v>3</v>
      </c>
      <c r="D17" s="921">
        <f t="shared" si="3"/>
        <v>2157</v>
      </c>
      <c r="E17" s="783">
        <f t="shared" si="4"/>
        <v>3</v>
      </c>
      <c r="F17" s="922">
        <f t="shared" si="5"/>
        <v>2157</v>
      </c>
      <c r="G17" s="923">
        <v>3</v>
      </c>
      <c r="H17" s="923">
        <v>2157</v>
      </c>
      <c r="I17" s="1069">
        <v>3</v>
      </c>
      <c r="J17" s="923">
        <v>2157</v>
      </c>
      <c r="K17" s="923">
        <v>0</v>
      </c>
      <c r="L17" s="923">
        <v>0</v>
      </c>
      <c r="M17" s="923">
        <v>0</v>
      </c>
      <c r="N17" s="923">
        <v>0</v>
      </c>
    </row>
    <row r="18" spans="1:14" s="519" customFormat="1" ht="20.25" customHeight="1">
      <c r="A18" s="785" t="s">
        <v>74</v>
      </c>
      <c r="B18" s="745" t="s">
        <v>752</v>
      </c>
      <c r="C18" s="783">
        <f t="shared" si="2"/>
        <v>56</v>
      </c>
      <c r="D18" s="921">
        <f t="shared" si="3"/>
        <v>127374</v>
      </c>
      <c r="E18" s="783">
        <f t="shared" si="4"/>
        <v>56</v>
      </c>
      <c r="F18" s="922">
        <f t="shared" si="5"/>
        <v>127374</v>
      </c>
      <c r="G18" s="923">
        <v>54</v>
      </c>
      <c r="H18" s="923">
        <v>118584</v>
      </c>
      <c r="I18" s="1069">
        <v>54</v>
      </c>
      <c r="J18" s="923">
        <v>118584</v>
      </c>
      <c r="K18" s="923">
        <v>2</v>
      </c>
      <c r="L18" s="923">
        <v>8790</v>
      </c>
      <c r="M18" s="923">
        <v>2</v>
      </c>
      <c r="N18" s="923">
        <v>8790</v>
      </c>
    </row>
    <row r="19" spans="1:14" s="519" customFormat="1" ht="20.25" customHeight="1">
      <c r="A19" s="785" t="s">
        <v>75</v>
      </c>
      <c r="B19" s="745" t="s">
        <v>753</v>
      </c>
      <c r="C19" s="783">
        <f t="shared" si="2"/>
        <v>0</v>
      </c>
      <c r="D19" s="921">
        <f t="shared" si="3"/>
        <v>0</v>
      </c>
      <c r="E19" s="783">
        <f t="shared" si="4"/>
        <v>0</v>
      </c>
      <c r="F19" s="922">
        <f t="shared" si="5"/>
        <v>0</v>
      </c>
      <c r="G19" s="923">
        <v>0</v>
      </c>
      <c r="H19" s="923">
        <v>0</v>
      </c>
      <c r="I19" s="1069">
        <v>0</v>
      </c>
      <c r="J19" s="923">
        <v>0</v>
      </c>
      <c r="K19" s="923">
        <v>0</v>
      </c>
      <c r="L19" s="923">
        <v>0</v>
      </c>
      <c r="M19" s="923">
        <v>0</v>
      </c>
      <c r="N19" s="923">
        <v>0</v>
      </c>
    </row>
    <row r="20" spans="1:14" s="519" customFormat="1" ht="20.25" customHeight="1">
      <c r="A20" s="785" t="s">
        <v>76</v>
      </c>
      <c r="B20" s="745" t="s">
        <v>754</v>
      </c>
      <c r="C20" s="783">
        <f t="shared" si="2"/>
        <v>0</v>
      </c>
      <c r="D20" s="921">
        <f t="shared" si="3"/>
        <v>0</v>
      </c>
      <c r="E20" s="783">
        <f t="shared" si="4"/>
        <v>0</v>
      </c>
      <c r="F20" s="922">
        <f t="shared" si="5"/>
        <v>0</v>
      </c>
      <c r="G20" s="923">
        <v>0</v>
      </c>
      <c r="H20" s="923">
        <v>0</v>
      </c>
      <c r="I20" s="1069">
        <v>0</v>
      </c>
      <c r="J20" s="923">
        <v>0</v>
      </c>
      <c r="K20" s="923">
        <v>0</v>
      </c>
      <c r="L20" s="923">
        <v>0</v>
      </c>
      <c r="M20" s="923">
        <v>0</v>
      </c>
      <c r="N20" s="923">
        <v>0</v>
      </c>
    </row>
    <row r="21" spans="1:14" s="519" customFormat="1" ht="21" customHeight="1">
      <c r="A21" s="785" t="s">
        <v>77</v>
      </c>
      <c r="B21" s="745" t="s">
        <v>755</v>
      </c>
      <c r="C21" s="783">
        <f t="shared" si="2"/>
        <v>0</v>
      </c>
      <c r="D21" s="921">
        <f t="shared" si="3"/>
        <v>0</v>
      </c>
      <c r="E21" s="783">
        <f t="shared" si="4"/>
        <v>0</v>
      </c>
      <c r="F21" s="922">
        <f t="shared" si="5"/>
        <v>0</v>
      </c>
      <c r="G21" s="923">
        <v>0</v>
      </c>
      <c r="H21" s="923">
        <v>0</v>
      </c>
      <c r="I21" s="1069">
        <v>0</v>
      </c>
      <c r="J21" s="923">
        <v>0</v>
      </c>
      <c r="K21" s="923">
        <v>0</v>
      </c>
      <c r="L21" s="923">
        <v>0</v>
      </c>
      <c r="M21" s="923">
        <v>0</v>
      </c>
      <c r="N21" s="923">
        <v>0</v>
      </c>
    </row>
    <row r="22" spans="1:14" s="519" customFormat="1" ht="20.25" customHeight="1">
      <c r="A22" s="785" t="s">
        <v>78</v>
      </c>
      <c r="B22" s="745" t="s">
        <v>756</v>
      </c>
      <c r="C22" s="783">
        <f t="shared" si="2"/>
        <v>19</v>
      </c>
      <c r="D22" s="921">
        <f t="shared" si="3"/>
        <v>4032</v>
      </c>
      <c r="E22" s="783">
        <f t="shared" si="4"/>
        <v>19</v>
      </c>
      <c r="F22" s="922">
        <f t="shared" si="5"/>
        <v>4032</v>
      </c>
      <c r="G22" s="923">
        <v>19</v>
      </c>
      <c r="H22" s="923">
        <v>4032</v>
      </c>
      <c r="I22" s="1069">
        <v>19</v>
      </c>
      <c r="J22" s="923">
        <v>4032</v>
      </c>
      <c r="K22" s="923">
        <v>0</v>
      </c>
      <c r="L22" s="923">
        <v>0</v>
      </c>
      <c r="M22" s="923">
        <v>0</v>
      </c>
      <c r="N22" s="923">
        <v>0</v>
      </c>
    </row>
    <row r="23" spans="1:14" s="519" customFormat="1" ht="23.25" customHeight="1" thickBot="1">
      <c r="A23" s="1171" t="s">
        <v>101</v>
      </c>
      <c r="B23" s="1005" t="s">
        <v>757</v>
      </c>
      <c r="C23" s="1070">
        <f t="shared" si="2"/>
        <v>2</v>
      </c>
      <c r="D23" s="1071">
        <f>H23+L23</f>
        <v>1680</v>
      </c>
      <c r="E23" s="1070">
        <f t="shared" si="4"/>
        <v>0</v>
      </c>
      <c r="F23" s="1072">
        <f>J23+N23</f>
        <v>0</v>
      </c>
      <c r="G23" s="1073">
        <v>2</v>
      </c>
      <c r="H23" s="1073">
        <v>1680</v>
      </c>
      <c r="I23" s="1073">
        <v>0</v>
      </c>
      <c r="J23" s="1073">
        <v>0</v>
      </c>
      <c r="K23" s="1073">
        <v>0</v>
      </c>
      <c r="L23" s="1073">
        <v>0</v>
      </c>
      <c r="M23" s="1073">
        <v>0</v>
      </c>
      <c r="N23" s="1073">
        <v>0</v>
      </c>
    </row>
    <row r="24" spans="1:14" s="521" customFormat="1" ht="21" customHeight="1" thickTop="1">
      <c r="A24" s="512"/>
      <c r="B24" s="1654"/>
      <c r="C24" s="1654"/>
      <c r="D24" s="1654"/>
      <c r="E24" s="1654"/>
      <c r="F24" s="925"/>
      <c r="G24" s="926"/>
      <c r="H24" s="926"/>
      <c r="I24" s="926"/>
      <c r="J24" s="1654" t="str">
        <f>'Thong tin'!B9</f>
        <v>Bình Thuận, ngày 04 tháng 10 năm 2016</v>
      </c>
      <c r="K24" s="1654"/>
      <c r="L24" s="1654"/>
      <c r="M24" s="1654"/>
      <c r="N24" s="1654"/>
    </row>
    <row r="25" spans="1:14" s="523" customFormat="1" ht="18" customHeight="1">
      <c r="A25" s="522"/>
      <c r="B25" s="1650" t="s">
        <v>43</v>
      </c>
      <c r="C25" s="1650"/>
      <c r="D25" s="1650"/>
      <c r="E25" s="1650"/>
      <c r="F25" s="1170"/>
      <c r="G25" s="928"/>
      <c r="H25" s="928"/>
      <c r="I25" s="928"/>
      <c r="J25" s="1650" t="str">
        <f>'Thong tin'!B7</f>
        <v>KT. CỤC TRƯỞNG</v>
      </c>
      <c r="K25" s="1650"/>
      <c r="L25" s="1650"/>
      <c r="M25" s="1650"/>
      <c r="N25" s="1650"/>
    </row>
    <row r="26" spans="1:14" s="523" customFormat="1" ht="16.5" customHeight="1">
      <c r="A26" s="522"/>
      <c r="B26" s="1652"/>
      <c r="C26" s="1653"/>
      <c r="D26" s="1653"/>
      <c r="E26" s="927"/>
      <c r="F26" s="1170"/>
      <c r="G26" s="928"/>
      <c r="H26" s="928"/>
      <c r="I26" s="928"/>
      <c r="J26" s="1651" t="str">
        <f>'Thong tin'!B8</f>
        <v>PHÓ CỤC TRƯỞNG</v>
      </c>
      <c r="K26" s="1651"/>
      <c r="L26" s="1651"/>
      <c r="M26" s="1651"/>
      <c r="N26" s="1651"/>
    </row>
    <row r="27" spans="1:14" s="523" customFormat="1" ht="24.75" customHeight="1">
      <c r="A27" s="522"/>
      <c r="B27" s="1649"/>
      <c r="C27" s="1650"/>
      <c r="D27" s="1650"/>
      <c r="E27" s="1650"/>
      <c r="F27" s="1170"/>
      <c r="G27" s="928"/>
      <c r="H27" s="928"/>
      <c r="I27" s="928"/>
      <c r="J27" s="927"/>
      <c r="K27" s="1650"/>
      <c r="L27" s="1650"/>
      <c r="M27" s="1650"/>
      <c r="N27" s="927"/>
    </row>
    <row r="28" spans="1:14" s="523" customFormat="1" ht="22.5" customHeight="1">
      <c r="A28" s="522"/>
      <c r="B28" s="927"/>
      <c r="C28" s="927"/>
      <c r="D28" s="927"/>
      <c r="E28" s="927"/>
      <c r="F28" s="927"/>
      <c r="G28" s="928"/>
      <c r="H28" s="928"/>
      <c r="I28" s="928"/>
      <c r="J28" s="927"/>
      <c r="K28" s="927"/>
      <c r="L28" s="927"/>
      <c r="M28" s="927"/>
      <c r="N28" s="927"/>
    </row>
    <row r="29" spans="2:14" ht="24.75" customHeight="1">
      <c r="B29" s="929"/>
      <c r="C29" s="929"/>
      <c r="D29" s="929"/>
      <c r="E29" s="929"/>
      <c r="F29" s="929"/>
      <c r="G29" s="929"/>
      <c r="H29" s="929"/>
      <c r="I29" s="929"/>
      <c r="J29" s="929"/>
      <c r="K29" s="929"/>
      <c r="L29" s="929"/>
      <c r="M29" s="929"/>
      <c r="N29" s="929"/>
    </row>
    <row r="30" spans="2:14" ht="24.75" customHeight="1">
      <c r="B30" s="1651" t="str">
        <f>'Thong tin'!B5</f>
        <v>Trần Quốc Bảo</v>
      </c>
      <c r="C30" s="1651"/>
      <c r="D30" s="1651"/>
      <c r="E30" s="1651"/>
      <c r="F30" s="929"/>
      <c r="G30" s="929"/>
      <c r="H30" s="929"/>
      <c r="I30" s="929"/>
      <c r="J30" s="1651" t="str">
        <f>'Thong tin'!B6</f>
        <v>Trần Nam</v>
      </c>
      <c r="K30" s="1651"/>
      <c r="L30" s="1651"/>
      <c r="M30" s="1651"/>
      <c r="N30" s="1651"/>
    </row>
    <row r="31" spans="2:14" ht="18.75">
      <c r="B31" s="527"/>
      <c r="C31" s="525"/>
      <c r="D31" s="525"/>
      <c r="E31" s="525"/>
      <c r="F31" s="525"/>
      <c r="G31" s="525"/>
      <c r="H31" s="525"/>
      <c r="I31" s="525"/>
      <c r="J31" s="525"/>
      <c r="K31" s="525"/>
      <c r="L31" s="525"/>
      <c r="M31" s="525"/>
      <c r="N31" s="525"/>
    </row>
    <row r="32" spans="7:10" ht="15.75">
      <c r="G32" s="528"/>
      <c r="H32" s="528"/>
      <c r="I32" s="528"/>
      <c r="J32" s="528"/>
    </row>
    <row r="33" spans="7:10" ht="15.75">
      <c r="G33" s="528"/>
      <c r="H33" s="528"/>
      <c r="I33" s="528"/>
      <c r="J33" s="528"/>
    </row>
    <row r="34" spans="7:10" ht="15.75">
      <c r="G34" s="528"/>
      <c r="H34" s="528"/>
      <c r="I34" s="528"/>
      <c r="J34" s="528"/>
    </row>
    <row r="35" spans="7:10" ht="15.75">
      <c r="G35" s="528"/>
      <c r="H35" s="528"/>
      <c r="I35" s="528"/>
      <c r="J35" s="528"/>
    </row>
    <row r="36" spans="7:10" ht="15.75">
      <c r="G36" s="528"/>
      <c r="H36" s="528"/>
      <c r="I36" s="528"/>
      <c r="J36" s="528"/>
    </row>
    <row r="37" spans="7:10" ht="15.75">
      <c r="G37" s="528"/>
      <c r="H37" s="528"/>
      <c r="I37" s="528"/>
      <c r="J37" s="528"/>
    </row>
    <row r="38" spans="7:10" ht="15.75">
      <c r="G38" s="528"/>
      <c r="H38" s="528"/>
      <c r="I38" s="528"/>
      <c r="J38" s="528"/>
    </row>
    <row r="39" spans="7:10" ht="15.75">
      <c r="G39" s="528"/>
      <c r="H39" s="528"/>
      <c r="I39" s="528"/>
      <c r="J39" s="528"/>
    </row>
  </sheetData>
  <sheetProtection/>
  <mergeCells count="31">
    <mergeCell ref="B26:D26"/>
    <mergeCell ref="J26:N26"/>
    <mergeCell ref="B24:E24"/>
    <mergeCell ref="J24:N24"/>
    <mergeCell ref="B25:E25"/>
    <mergeCell ref="J25:N25"/>
    <mergeCell ref="B27:E27"/>
    <mergeCell ref="K27:M27"/>
    <mergeCell ref="B30:E30"/>
    <mergeCell ref="J30:N30"/>
    <mergeCell ref="A10:B10"/>
    <mergeCell ref="A11:B11"/>
    <mergeCell ref="G7:J7"/>
    <mergeCell ref="K7:N7"/>
    <mergeCell ref="C8:D8"/>
    <mergeCell ref="E8:F8"/>
    <mergeCell ref="G8:H8"/>
    <mergeCell ref="I8:J8"/>
    <mergeCell ref="K8:L8"/>
    <mergeCell ref="L4:N4"/>
    <mergeCell ref="D5:K5"/>
    <mergeCell ref="A6:B9"/>
    <mergeCell ref="C6:F7"/>
    <mergeCell ref="G6:N6"/>
    <mergeCell ref="M8:N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2"/>
  <sheetViews>
    <sheetView view="pageBreakPreview" zoomScaleSheetLayoutView="100" zoomScalePageLayoutView="0" workbookViewId="0" topLeftCell="A1">
      <selection activeCell="N7" sqref="N7:P7"/>
    </sheetView>
  </sheetViews>
  <sheetFormatPr defaultColWidth="9.00390625" defaultRowHeight="15.75"/>
  <cols>
    <col min="1" max="1" width="4.00390625" style="512" customWidth="1"/>
    <col min="2" max="2" width="21.125" style="512" customWidth="1"/>
    <col min="3" max="3" width="10.25390625" style="512" customWidth="1"/>
    <col min="4" max="6" width="7.875" style="512" customWidth="1"/>
    <col min="7" max="7" width="9.25390625" style="512" customWidth="1"/>
    <col min="8" max="8" width="8.50390625" style="512" customWidth="1"/>
    <col min="9" max="9" width="6.875" style="512" customWidth="1"/>
    <col min="10" max="10" width="7.875" style="512" customWidth="1"/>
    <col min="11" max="11" width="7.125" style="512" customWidth="1"/>
    <col min="12" max="12" width="7.00390625" style="512" customWidth="1"/>
    <col min="13" max="13" width="7.875" style="512" customWidth="1"/>
    <col min="14" max="14" width="10.25390625" style="512" customWidth="1"/>
    <col min="15" max="16" width="7.875" style="512" customWidth="1"/>
    <col min="17" max="16384" width="9.00390625" style="512" customWidth="1"/>
  </cols>
  <sheetData>
    <row r="1" spans="1:16" ht="19.5" customHeight="1">
      <c r="A1" s="1672" t="s">
        <v>28</v>
      </c>
      <c r="B1" s="1672"/>
      <c r="C1" s="529"/>
      <c r="D1" s="1673" t="s">
        <v>654</v>
      </c>
      <c r="E1" s="1673"/>
      <c r="F1" s="1673"/>
      <c r="G1" s="1673"/>
      <c r="H1" s="1673"/>
      <c r="I1" s="1673"/>
      <c r="J1" s="1673"/>
      <c r="K1" s="1673"/>
      <c r="L1" s="1673"/>
      <c r="M1" s="1663" t="s">
        <v>398</v>
      </c>
      <c r="N1" s="1664"/>
      <c r="O1" s="1664"/>
      <c r="P1" s="1664"/>
    </row>
    <row r="2" spans="1:16" ht="21" customHeight="1">
      <c r="A2" s="1665" t="s">
        <v>342</v>
      </c>
      <c r="B2" s="1666"/>
      <c r="C2" s="1666"/>
      <c r="D2" s="1673"/>
      <c r="E2" s="1673"/>
      <c r="F2" s="1673"/>
      <c r="G2" s="1673"/>
      <c r="H2" s="1673"/>
      <c r="I2" s="1673"/>
      <c r="J2" s="1673"/>
      <c r="K2" s="1673"/>
      <c r="L2" s="1673"/>
      <c r="M2" s="1667" t="str">
        <f>'Thong tin'!B4</f>
        <v>Cục THADS tỉnh Bình Thuận</v>
      </c>
      <c r="N2" s="1668"/>
      <c r="O2" s="1668"/>
      <c r="P2" s="1668"/>
    </row>
    <row r="3" spans="1:13" ht="19.5" customHeight="1">
      <c r="A3" s="668" t="s">
        <v>673</v>
      </c>
      <c r="D3" s="1673"/>
      <c r="E3" s="1673"/>
      <c r="F3" s="1673"/>
      <c r="G3" s="1673"/>
      <c r="H3" s="1673"/>
      <c r="I3" s="1673"/>
      <c r="J3" s="1673"/>
      <c r="K3" s="1673"/>
      <c r="L3" s="1673"/>
      <c r="M3" s="668" t="s">
        <v>655</v>
      </c>
    </row>
    <row r="4" spans="1:16" ht="19.5" customHeight="1">
      <c r="A4" s="1670" t="s">
        <v>400</v>
      </c>
      <c r="B4" s="1670"/>
      <c r="C4" s="1670"/>
      <c r="D4" s="1669" t="str">
        <f>'Thong tin'!B3</f>
        <v>12 tháng / năm 2016</v>
      </c>
      <c r="E4" s="1669"/>
      <c r="F4" s="1669"/>
      <c r="G4" s="1669"/>
      <c r="H4" s="1669"/>
      <c r="I4" s="1669"/>
      <c r="J4" s="1669"/>
      <c r="K4" s="1669"/>
      <c r="L4" s="1669"/>
      <c r="M4" s="1671" t="s">
        <v>401</v>
      </c>
      <c r="N4" s="1671"/>
      <c r="O4" s="1671"/>
      <c r="P4" s="1671"/>
    </row>
    <row r="5" spans="1:16" s="532" customFormat="1" ht="18.75" customHeight="1">
      <c r="A5" s="531"/>
      <c r="B5" s="531"/>
      <c r="D5" s="1669"/>
      <c r="E5" s="1669"/>
      <c r="F5" s="1669"/>
      <c r="G5" s="1669"/>
      <c r="H5" s="1669"/>
      <c r="I5" s="1669"/>
      <c r="J5" s="1669"/>
      <c r="K5" s="1669"/>
      <c r="L5" s="1669"/>
      <c r="M5" s="533" t="s">
        <v>402</v>
      </c>
      <c r="N5" s="534"/>
      <c r="O5" s="534"/>
      <c r="P5" s="534"/>
    </row>
    <row r="6" spans="1:16" ht="37.5" customHeight="1">
      <c r="A6" s="1674" t="s">
        <v>72</v>
      </c>
      <c r="B6" s="1675"/>
      <c r="C6" s="1678" t="s">
        <v>100</v>
      </c>
      <c r="D6" s="1679"/>
      <c r="E6" s="1679"/>
      <c r="F6" s="1679"/>
      <c r="G6" s="1679"/>
      <c r="H6" s="1679"/>
      <c r="I6" s="1679"/>
      <c r="J6" s="1679"/>
      <c r="K6" s="1680" t="s">
        <v>99</v>
      </c>
      <c r="L6" s="1680"/>
      <c r="M6" s="1680"/>
      <c r="N6" s="1680"/>
      <c r="O6" s="1680"/>
      <c r="P6" s="1680"/>
    </row>
    <row r="7" spans="1:16" ht="20.25" customHeight="1">
      <c r="A7" s="1676"/>
      <c r="B7" s="1677"/>
      <c r="C7" s="1678" t="s">
        <v>3</v>
      </c>
      <c r="D7" s="1679"/>
      <c r="E7" s="1679"/>
      <c r="F7" s="1681"/>
      <c r="G7" s="1680" t="s">
        <v>10</v>
      </c>
      <c r="H7" s="1680"/>
      <c r="I7" s="1680"/>
      <c r="J7" s="1680"/>
      <c r="K7" s="1682" t="s">
        <v>3</v>
      </c>
      <c r="L7" s="1682"/>
      <c r="M7" s="1682"/>
      <c r="N7" s="1685" t="s">
        <v>10</v>
      </c>
      <c r="O7" s="1685"/>
      <c r="P7" s="1685"/>
    </row>
    <row r="8" spans="1:16" ht="30.75" customHeight="1">
      <c r="A8" s="1676"/>
      <c r="B8" s="1677"/>
      <c r="C8" s="1686" t="s">
        <v>403</v>
      </c>
      <c r="D8" s="1679" t="s">
        <v>96</v>
      </c>
      <c r="E8" s="1679"/>
      <c r="F8" s="1681"/>
      <c r="G8" s="1680" t="s">
        <v>404</v>
      </c>
      <c r="H8" s="1680" t="s">
        <v>96</v>
      </c>
      <c r="I8" s="1680"/>
      <c r="J8" s="1680"/>
      <c r="K8" s="1680" t="s">
        <v>39</v>
      </c>
      <c r="L8" s="1680" t="s">
        <v>97</v>
      </c>
      <c r="M8" s="1680"/>
      <c r="N8" s="1680" t="s">
        <v>80</v>
      </c>
      <c r="O8" s="1680" t="s">
        <v>97</v>
      </c>
      <c r="P8" s="1680"/>
    </row>
    <row r="9" spans="1:16" ht="40.5" customHeight="1">
      <c r="A9" s="1676"/>
      <c r="B9" s="1677"/>
      <c r="C9" s="1686"/>
      <c r="D9" s="670" t="s">
        <v>44</v>
      </c>
      <c r="E9" s="670" t="s">
        <v>45</v>
      </c>
      <c r="F9" s="670" t="s">
        <v>48</v>
      </c>
      <c r="G9" s="1680"/>
      <c r="H9" s="670" t="s">
        <v>44</v>
      </c>
      <c r="I9" s="670" t="s">
        <v>45</v>
      </c>
      <c r="J9" s="670" t="s">
        <v>48</v>
      </c>
      <c r="K9" s="1680"/>
      <c r="L9" s="670" t="s">
        <v>16</v>
      </c>
      <c r="M9" s="670" t="s">
        <v>15</v>
      </c>
      <c r="N9" s="1680"/>
      <c r="O9" s="670" t="s">
        <v>16</v>
      </c>
      <c r="P9" s="670" t="s">
        <v>15</v>
      </c>
    </row>
    <row r="10" spans="1:16" ht="15" customHeight="1">
      <c r="A10" s="1687" t="s">
        <v>6</v>
      </c>
      <c r="B10" s="1688"/>
      <c r="C10" s="535">
        <v>1</v>
      </c>
      <c r="D10" s="535" t="s">
        <v>53</v>
      </c>
      <c r="E10" s="535" t="s">
        <v>58</v>
      </c>
      <c r="F10" s="535" t="s">
        <v>73</v>
      </c>
      <c r="G10" s="535" t="s">
        <v>74</v>
      </c>
      <c r="H10" s="535" t="s">
        <v>75</v>
      </c>
      <c r="I10" s="535" t="s">
        <v>76</v>
      </c>
      <c r="J10" s="535" t="s">
        <v>77</v>
      </c>
      <c r="K10" s="535" t="s">
        <v>78</v>
      </c>
      <c r="L10" s="535" t="s">
        <v>101</v>
      </c>
      <c r="M10" s="535" t="s">
        <v>102</v>
      </c>
      <c r="N10" s="535" t="s">
        <v>103</v>
      </c>
      <c r="O10" s="535" t="s">
        <v>104</v>
      </c>
      <c r="P10" s="535" t="s">
        <v>105</v>
      </c>
    </row>
    <row r="11" spans="1:16" ht="15" customHeight="1">
      <c r="A11" s="1683" t="s">
        <v>41</v>
      </c>
      <c r="B11" s="1684"/>
      <c r="C11" s="777">
        <f>C12+C13</f>
        <v>3</v>
      </c>
      <c r="D11" s="777">
        <f aca="true" t="shared" si="0" ref="D11:P11">D12+D13</f>
        <v>3</v>
      </c>
      <c r="E11" s="777">
        <f t="shared" si="0"/>
        <v>0</v>
      </c>
      <c r="F11" s="777">
        <f t="shared" si="0"/>
        <v>0</v>
      </c>
      <c r="G11" s="777">
        <f t="shared" si="0"/>
        <v>2750810</v>
      </c>
      <c r="H11" s="777">
        <f t="shared" si="0"/>
        <v>2750810</v>
      </c>
      <c r="I11" s="777">
        <f t="shared" si="0"/>
        <v>0</v>
      </c>
      <c r="J11" s="777">
        <f t="shared" si="0"/>
        <v>0</v>
      </c>
      <c r="K11" s="777">
        <f t="shared" si="0"/>
        <v>0</v>
      </c>
      <c r="L11" s="777">
        <f t="shared" si="0"/>
        <v>0</v>
      </c>
      <c r="M11" s="777">
        <f t="shared" si="0"/>
        <v>0</v>
      </c>
      <c r="N11" s="777">
        <f t="shared" si="0"/>
        <v>0</v>
      </c>
      <c r="O11" s="777">
        <f t="shared" si="0"/>
        <v>0</v>
      </c>
      <c r="P11" s="777">
        <f t="shared" si="0"/>
        <v>0</v>
      </c>
    </row>
    <row r="12" spans="1:16" ht="15" customHeight="1">
      <c r="A12" s="778" t="s">
        <v>0</v>
      </c>
      <c r="B12" s="931" t="s">
        <v>98</v>
      </c>
      <c r="C12" s="770">
        <f>D12+E12+F12</f>
        <v>0</v>
      </c>
      <c r="D12" s="932">
        <v>0</v>
      </c>
      <c r="E12" s="932">
        <v>0</v>
      </c>
      <c r="F12" s="932">
        <v>0</v>
      </c>
      <c r="G12" s="777">
        <f>H12+I12+J12</f>
        <v>0</v>
      </c>
      <c r="H12" s="932">
        <v>0</v>
      </c>
      <c r="I12" s="932">
        <v>0</v>
      </c>
      <c r="J12" s="932">
        <v>0</v>
      </c>
      <c r="K12" s="779">
        <f>L12+M12+N12</f>
        <v>0</v>
      </c>
      <c r="L12" s="932">
        <v>0</v>
      </c>
      <c r="M12" s="932">
        <v>0</v>
      </c>
      <c r="N12" s="937">
        <f>O12+P12</f>
        <v>0</v>
      </c>
      <c r="O12" s="938">
        <v>0</v>
      </c>
      <c r="P12" s="938">
        <v>0</v>
      </c>
    </row>
    <row r="13" spans="1:16" ht="15" customHeight="1">
      <c r="A13" s="780" t="s">
        <v>1</v>
      </c>
      <c r="B13" s="933" t="s">
        <v>19</v>
      </c>
      <c r="C13" s="770">
        <f>SUM(C14:C23)</f>
        <v>3</v>
      </c>
      <c r="D13" s="770">
        <f aca="true" t="shared" si="1" ref="D13:P13">SUM(D14:D23)</f>
        <v>3</v>
      </c>
      <c r="E13" s="770">
        <f t="shared" si="1"/>
        <v>0</v>
      </c>
      <c r="F13" s="770">
        <f t="shared" si="1"/>
        <v>0</v>
      </c>
      <c r="G13" s="770">
        <f t="shared" si="1"/>
        <v>2750810</v>
      </c>
      <c r="H13" s="770">
        <f t="shared" si="1"/>
        <v>2750810</v>
      </c>
      <c r="I13" s="770">
        <f t="shared" si="1"/>
        <v>0</v>
      </c>
      <c r="J13" s="770">
        <f t="shared" si="1"/>
        <v>0</v>
      </c>
      <c r="K13" s="772">
        <f t="shared" si="1"/>
        <v>0</v>
      </c>
      <c r="L13" s="770">
        <f t="shared" si="1"/>
        <v>0</v>
      </c>
      <c r="M13" s="770">
        <f t="shared" si="1"/>
        <v>0</v>
      </c>
      <c r="N13" s="770">
        <f t="shared" si="1"/>
        <v>0</v>
      </c>
      <c r="O13" s="770">
        <f t="shared" si="1"/>
        <v>0</v>
      </c>
      <c r="P13" s="770">
        <f t="shared" si="1"/>
        <v>0</v>
      </c>
    </row>
    <row r="14" spans="1:16" ht="15" customHeight="1">
      <c r="A14" s="781">
        <v>1</v>
      </c>
      <c r="B14" s="745" t="s">
        <v>748</v>
      </c>
      <c r="C14" s="770">
        <f>D14+E14+F14</f>
        <v>3</v>
      </c>
      <c r="D14" s="932">
        <v>3</v>
      </c>
      <c r="E14" s="932">
        <v>0</v>
      </c>
      <c r="F14" s="932">
        <v>0</v>
      </c>
      <c r="G14" s="777">
        <f>H14+I14+J14</f>
        <v>2750810</v>
      </c>
      <c r="H14" s="932">
        <v>2750810</v>
      </c>
      <c r="I14" s="932">
        <v>0</v>
      </c>
      <c r="J14" s="932">
        <v>0</v>
      </c>
      <c r="K14" s="777">
        <f aca="true" t="shared" si="2" ref="K14:K23">L14+M14</f>
        <v>0</v>
      </c>
      <c r="L14" s="932">
        <v>0</v>
      </c>
      <c r="M14" s="932"/>
      <c r="N14" s="777">
        <f>O14+P14</f>
        <v>0</v>
      </c>
      <c r="O14" s="938">
        <v>0</v>
      </c>
      <c r="P14" s="938">
        <v>0</v>
      </c>
    </row>
    <row r="15" spans="1:16" ht="15" customHeight="1">
      <c r="A15" s="781">
        <v>2</v>
      </c>
      <c r="B15" s="745" t="s">
        <v>749</v>
      </c>
      <c r="C15" s="770">
        <f aca="true" t="shared" si="3" ref="C15:C23">D15+E15+F15</f>
        <v>0</v>
      </c>
      <c r="D15" s="932">
        <v>0</v>
      </c>
      <c r="E15" s="932">
        <v>0</v>
      </c>
      <c r="F15" s="932">
        <v>0</v>
      </c>
      <c r="G15" s="777">
        <f aca="true" t="shared" si="4" ref="G15:G23">H15+I15+J15</f>
        <v>0</v>
      </c>
      <c r="H15" s="932">
        <v>0</v>
      </c>
      <c r="I15" s="932">
        <v>0</v>
      </c>
      <c r="J15" s="932">
        <v>0</v>
      </c>
      <c r="K15" s="777">
        <f t="shared" si="2"/>
        <v>0</v>
      </c>
      <c r="L15" s="932">
        <v>0</v>
      </c>
      <c r="M15" s="932">
        <v>0</v>
      </c>
      <c r="N15" s="777">
        <f aca="true" t="shared" si="5" ref="N15:N23">O15+P15</f>
        <v>0</v>
      </c>
      <c r="O15" s="938">
        <v>0</v>
      </c>
      <c r="P15" s="938">
        <v>0</v>
      </c>
    </row>
    <row r="16" spans="1:16" ht="15" customHeight="1">
      <c r="A16" s="781">
        <v>3</v>
      </c>
      <c r="B16" s="745" t="s">
        <v>750</v>
      </c>
      <c r="C16" s="770">
        <f t="shared" si="3"/>
        <v>0</v>
      </c>
      <c r="D16" s="932">
        <v>0</v>
      </c>
      <c r="E16" s="932">
        <v>0</v>
      </c>
      <c r="F16" s="932">
        <v>0</v>
      </c>
      <c r="G16" s="777">
        <f t="shared" si="4"/>
        <v>0</v>
      </c>
      <c r="H16" s="932">
        <v>0</v>
      </c>
      <c r="I16" s="932">
        <v>0</v>
      </c>
      <c r="J16" s="932">
        <v>0</v>
      </c>
      <c r="K16" s="777">
        <f t="shared" si="2"/>
        <v>0</v>
      </c>
      <c r="L16" s="932">
        <v>0</v>
      </c>
      <c r="M16" s="932">
        <v>0</v>
      </c>
      <c r="N16" s="777">
        <f t="shared" si="5"/>
        <v>0</v>
      </c>
      <c r="O16" s="938">
        <v>0</v>
      </c>
      <c r="P16" s="938">
        <v>0</v>
      </c>
    </row>
    <row r="17" spans="1:16" ht="15" customHeight="1">
      <c r="A17" s="781">
        <v>4</v>
      </c>
      <c r="B17" s="745" t="s">
        <v>751</v>
      </c>
      <c r="C17" s="770">
        <f t="shared" si="3"/>
        <v>0</v>
      </c>
      <c r="D17" s="932">
        <v>0</v>
      </c>
      <c r="E17" s="932">
        <v>0</v>
      </c>
      <c r="F17" s="932">
        <v>0</v>
      </c>
      <c r="G17" s="777">
        <f t="shared" si="4"/>
        <v>0</v>
      </c>
      <c r="H17" s="932">
        <v>0</v>
      </c>
      <c r="I17" s="932">
        <v>0</v>
      </c>
      <c r="J17" s="932">
        <v>0</v>
      </c>
      <c r="K17" s="777">
        <f t="shared" si="2"/>
        <v>0</v>
      </c>
      <c r="L17" s="932">
        <v>0</v>
      </c>
      <c r="M17" s="932">
        <v>0</v>
      </c>
      <c r="N17" s="777">
        <f t="shared" si="5"/>
        <v>0</v>
      </c>
      <c r="O17" s="938">
        <v>0</v>
      </c>
      <c r="P17" s="938">
        <v>0</v>
      </c>
    </row>
    <row r="18" spans="1:16" ht="15" customHeight="1">
      <c r="A18" s="781">
        <v>5</v>
      </c>
      <c r="B18" s="745" t="s">
        <v>752</v>
      </c>
      <c r="C18" s="770">
        <f t="shared" si="3"/>
        <v>0</v>
      </c>
      <c r="D18" s="932">
        <v>0</v>
      </c>
      <c r="E18" s="932">
        <v>0</v>
      </c>
      <c r="F18" s="932">
        <v>0</v>
      </c>
      <c r="G18" s="777">
        <f t="shared" si="4"/>
        <v>0</v>
      </c>
      <c r="H18" s="932">
        <v>0</v>
      </c>
      <c r="I18" s="932">
        <v>0</v>
      </c>
      <c r="J18" s="932">
        <v>0</v>
      </c>
      <c r="K18" s="777">
        <f t="shared" si="2"/>
        <v>0</v>
      </c>
      <c r="L18" s="932">
        <v>0</v>
      </c>
      <c r="M18" s="932">
        <v>0</v>
      </c>
      <c r="N18" s="777">
        <f t="shared" si="5"/>
        <v>0</v>
      </c>
      <c r="O18" s="938">
        <v>0</v>
      </c>
      <c r="P18" s="938">
        <v>0</v>
      </c>
    </row>
    <row r="19" spans="1:16" ht="15" customHeight="1">
      <c r="A19" s="781">
        <v>6</v>
      </c>
      <c r="B19" s="745" t="s">
        <v>753</v>
      </c>
      <c r="C19" s="770">
        <f t="shared" si="3"/>
        <v>0</v>
      </c>
      <c r="D19" s="932">
        <v>0</v>
      </c>
      <c r="E19" s="932">
        <v>0</v>
      </c>
      <c r="F19" s="932">
        <v>0</v>
      </c>
      <c r="G19" s="777">
        <f t="shared" si="4"/>
        <v>0</v>
      </c>
      <c r="H19" s="932">
        <v>0</v>
      </c>
      <c r="I19" s="932">
        <v>0</v>
      </c>
      <c r="J19" s="932">
        <v>0</v>
      </c>
      <c r="K19" s="777">
        <f t="shared" si="2"/>
        <v>0</v>
      </c>
      <c r="L19" s="932">
        <v>0</v>
      </c>
      <c r="M19" s="932">
        <v>0</v>
      </c>
      <c r="N19" s="777">
        <f t="shared" si="5"/>
        <v>0</v>
      </c>
      <c r="O19" s="938">
        <v>0</v>
      </c>
      <c r="P19" s="938">
        <v>0</v>
      </c>
    </row>
    <row r="20" spans="1:16" ht="15" customHeight="1">
      <c r="A20" s="781">
        <v>7</v>
      </c>
      <c r="B20" s="745" t="s">
        <v>754</v>
      </c>
      <c r="C20" s="770">
        <f t="shared" si="3"/>
        <v>0</v>
      </c>
      <c r="D20" s="932">
        <v>0</v>
      </c>
      <c r="E20" s="932">
        <v>0</v>
      </c>
      <c r="F20" s="932">
        <v>0</v>
      </c>
      <c r="G20" s="777">
        <f t="shared" si="4"/>
        <v>0</v>
      </c>
      <c r="H20" s="932">
        <v>0</v>
      </c>
      <c r="I20" s="932">
        <v>0</v>
      </c>
      <c r="J20" s="932">
        <v>0</v>
      </c>
      <c r="K20" s="777">
        <f t="shared" si="2"/>
        <v>0</v>
      </c>
      <c r="L20" s="932">
        <v>0</v>
      </c>
      <c r="M20" s="932">
        <v>0</v>
      </c>
      <c r="N20" s="777">
        <f t="shared" si="5"/>
        <v>0</v>
      </c>
      <c r="O20" s="938">
        <v>0</v>
      </c>
      <c r="P20" s="938">
        <v>0</v>
      </c>
    </row>
    <row r="21" spans="1:16" ht="15" customHeight="1">
      <c r="A21" s="781">
        <v>8</v>
      </c>
      <c r="B21" s="745" t="s">
        <v>755</v>
      </c>
      <c r="C21" s="770">
        <f t="shared" si="3"/>
        <v>0</v>
      </c>
      <c r="D21" s="932">
        <v>0</v>
      </c>
      <c r="E21" s="932">
        <v>0</v>
      </c>
      <c r="F21" s="932">
        <v>0</v>
      </c>
      <c r="G21" s="777">
        <f t="shared" si="4"/>
        <v>0</v>
      </c>
      <c r="H21" s="932">
        <v>0</v>
      </c>
      <c r="I21" s="932">
        <v>0</v>
      </c>
      <c r="J21" s="932">
        <v>0</v>
      </c>
      <c r="K21" s="777">
        <f t="shared" si="2"/>
        <v>0</v>
      </c>
      <c r="L21" s="932">
        <v>0</v>
      </c>
      <c r="M21" s="932">
        <v>0</v>
      </c>
      <c r="N21" s="777">
        <f t="shared" si="5"/>
        <v>0</v>
      </c>
      <c r="O21" s="938">
        <v>0</v>
      </c>
      <c r="P21" s="938">
        <v>0</v>
      </c>
    </row>
    <row r="22" spans="1:16" ht="15" customHeight="1">
      <c r="A22" s="781">
        <v>9</v>
      </c>
      <c r="B22" s="745" t="s">
        <v>756</v>
      </c>
      <c r="C22" s="770">
        <f t="shared" si="3"/>
        <v>0</v>
      </c>
      <c r="D22" s="932">
        <v>0</v>
      </c>
      <c r="E22" s="932">
        <v>0</v>
      </c>
      <c r="F22" s="932">
        <v>0</v>
      </c>
      <c r="G22" s="777">
        <f t="shared" si="4"/>
        <v>0</v>
      </c>
      <c r="H22" s="932">
        <v>0</v>
      </c>
      <c r="I22" s="932">
        <v>0</v>
      </c>
      <c r="J22" s="932">
        <v>0</v>
      </c>
      <c r="K22" s="777">
        <f t="shared" si="2"/>
        <v>0</v>
      </c>
      <c r="L22" s="932">
        <v>0</v>
      </c>
      <c r="M22" s="932">
        <v>0</v>
      </c>
      <c r="N22" s="777">
        <f t="shared" si="5"/>
        <v>0</v>
      </c>
      <c r="O22" s="938">
        <v>0</v>
      </c>
      <c r="P22" s="938">
        <v>0</v>
      </c>
    </row>
    <row r="23" spans="1:16" ht="15" customHeight="1" thickBot="1">
      <c r="A23" s="782">
        <v>10</v>
      </c>
      <c r="B23" s="1005" t="s">
        <v>757</v>
      </c>
      <c r="C23" s="934">
        <f t="shared" si="3"/>
        <v>0</v>
      </c>
      <c r="D23" s="935">
        <v>0</v>
      </c>
      <c r="E23" s="935">
        <v>0</v>
      </c>
      <c r="F23" s="935">
        <v>0</v>
      </c>
      <c r="G23" s="936">
        <f t="shared" si="4"/>
        <v>0</v>
      </c>
      <c r="H23" s="935">
        <v>0</v>
      </c>
      <c r="I23" s="935">
        <v>0</v>
      </c>
      <c r="J23" s="935">
        <v>0</v>
      </c>
      <c r="K23" s="936">
        <f t="shared" si="2"/>
        <v>0</v>
      </c>
      <c r="L23" s="935">
        <v>0</v>
      </c>
      <c r="M23" s="935">
        <v>0</v>
      </c>
      <c r="N23" s="777">
        <f t="shared" si="5"/>
        <v>0</v>
      </c>
      <c r="O23" s="939">
        <v>0</v>
      </c>
      <c r="P23" s="939">
        <v>0</v>
      </c>
    </row>
    <row r="24" spans="1:16" ht="25.5" customHeight="1" thickTop="1">
      <c r="A24" s="536"/>
      <c r="B24" s="537"/>
      <c r="C24" s="538"/>
      <c r="D24" s="538"/>
      <c r="E24" s="538"/>
      <c r="F24" s="538"/>
      <c r="G24" s="538"/>
      <c r="H24" s="538"/>
      <c r="I24" s="538"/>
      <c r="J24" s="538"/>
      <c r="K24" s="538"/>
      <c r="L24" s="1655" t="str">
        <f>'Thong tin'!B9</f>
        <v>Bình Thuận, ngày 04 tháng 10 năm 2016</v>
      </c>
      <c r="M24" s="1655"/>
      <c r="N24" s="1655"/>
      <c r="O24" s="1655"/>
      <c r="P24" s="1655"/>
    </row>
    <row r="25" spans="2:16" ht="17.25" customHeight="1">
      <c r="B25" s="1659" t="s">
        <v>4</v>
      </c>
      <c r="C25" s="1659"/>
      <c r="D25" s="1659"/>
      <c r="E25" s="666"/>
      <c r="F25" s="539"/>
      <c r="G25" s="539"/>
      <c r="H25" s="539"/>
      <c r="I25" s="539"/>
      <c r="J25" s="539"/>
      <c r="L25" s="1656" t="str">
        <f>'Thong tin'!B7</f>
        <v>KT. CỤC TRƯỞNG</v>
      </c>
      <c r="M25" s="1656"/>
      <c r="N25" s="1656"/>
      <c r="O25" s="1656"/>
      <c r="P25" s="1656"/>
    </row>
    <row r="26" spans="2:16" ht="21" customHeight="1">
      <c r="B26" s="666"/>
      <c r="C26" s="666"/>
      <c r="D26" s="666"/>
      <c r="E26" s="666"/>
      <c r="F26" s="539"/>
      <c r="G26" s="539"/>
      <c r="H26" s="539"/>
      <c r="I26" s="539"/>
      <c r="J26" s="539"/>
      <c r="K26" s="539"/>
      <c r="L26" s="1657" t="str">
        <f>'Thong tin'!B8</f>
        <v>PHÓ CỤC TRƯỞNG</v>
      </c>
      <c r="M26" s="1657"/>
      <c r="N26" s="1657"/>
      <c r="O26" s="1657"/>
      <c r="P26" s="1657"/>
    </row>
    <row r="27" ht="11.25" customHeight="1"/>
    <row r="28" spans="2:16" ht="16.5" customHeight="1">
      <c r="B28" s="1661"/>
      <c r="C28" s="1661"/>
      <c r="D28" s="1661"/>
      <c r="K28" s="1662"/>
      <c r="L28" s="1662"/>
      <c r="M28" s="1662"/>
      <c r="N28" s="1662"/>
      <c r="O28" s="1662"/>
      <c r="P28" s="1662"/>
    </row>
    <row r="29" ht="12.75" customHeight="1"/>
    <row r="30" spans="2:16" ht="15.75">
      <c r="B30" s="1660" t="str">
        <f>'Thong tin'!B5</f>
        <v>Trần Quốc Bảo</v>
      </c>
      <c r="C30" s="1660"/>
      <c r="D30" s="1660"/>
      <c r="E30" s="667"/>
      <c r="L30" s="1658" t="str">
        <f>'Thong tin'!B6</f>
        <v>Trần Nam</v>
      </c>
      <c r="M30" s="1658"/>
      <c r="N30" s="1658"/>
      <c r="O30" s="1658"/>
      <c r="P30" s="1658"/>
    </row>
    <row r="32" spans="12:16" ht="15.75">
      <c r="L32" s="546"/>
      <c r="M32" s="546"/>
      <c r="N32" s="546"/>
      <c r="O32" s="546"/>
      <c r="P32" s="546"/>
    </row>
  </sheetData>
  <sheetProtection/>
  <mergeCells count="34">
    <mergeCell ref="A11:B11"/>
    <mergeCell ref="N7:P7"/>
    <mergeCell ref="C8:C9"/>
    <mergeCell ref="D8:F8"/>
    <mergeCell ref="K8:K9"/>
    <mergeCell ref="L8:M8"/>
    <mergeCell ref="N8:N9"/>
    <mergeCell ref="O8:P8"/>
    <mergeCell ref="A10:B10"/>
    <mergeCell ref="D5:L5"/>
    <mergeCell ref="A6:B9"/>
    <mergeCell ref="C6:J6"/>
    <mergeCell ref="K6:P6"/>
    <mergeCell ref="C7:F7"/>
    <mergeCell ref="G7:J7"/>
    <mergeCell ref="K7:M7"/>
    <mergeCell ref="G8:G9"/>
    <mergeCell ref="H8:J8"/>
    <mergeCell ref="M1:P1"/>
    <mergeCell ref="A2:C2"/>
    <mergeCell ref="M2:P2"/>
    <mergeCell ref="D4:L4"/>
    <mergeCell ref="A4:C4"/>
    <mergeCell ref="M4:P4"/>
    <mergeCell ref="A1:B1"/>
    <mergeCell ref="D1:L3"/>
    <mergeCell ref="B25:D25"/>
    <mergeCell ref="B30:D30"/>
    <mergeCell ref="B28:D28"/>
    <mergeCell ref="K28:P28"/>
    <mergeCell ref="L24:P24"/>
    <mergeCell ref="L25:P25"/>
    <mergeCell ref="L26:P26"/>
    <mergeCell ref="L30:P30"/>
  </mergeCells>
  <printOptions/>
  <pageMargins left="0.393700787401575" right="0" top="0" bottom="0" header="0.078740157480315" footer="0.196850393700787"/>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M38"/>
  <sheetViews>
    <sheetView view="pageBreakPreview" zoomScaleSheetLayoutView="100" zoomScalePageLayoutView="0" workbookViewId="0" topLeftCell="A7">
      <selection activeCell="G19" sqref="G19"/>
    </sheetView>
  </sheetViews>
  <sheetFormatPr defaultColWidth="9.00390625" defaultRowHeight="15.75"/>
  <cols>
    <col min="1" max="1" width="3.75390625" style="512" customWidth="1"/>
    <col min="2" max="2" width="23.875" style="512" customWidth="1"/>
    <col min="3" max="3" width="11.375" style="512" customWidth="1"/>
    <col min="4" max="4" width="13.875" style="512" customWidth="1"/>
    <col min="5" max="5" width="15.375" style="512" customWidth="1"/>
    <col min="6" max="6" width="11.00390625" style="512" customWidth="1"/>
    <col min="7" max="7" width="11.75390625" style="512" customWidth="1"/>
    <col min="8" max="8" width="11.125" style="512" customWidth="1"/>
    <col min="9" max="9" width="10.25390625" style="512" customWidth="1"/>
    <col min="10" max="10" width="10.75390625" style="512" customWidth="1"/>
    <col min="11" max="11" width="11.125" style="512" customWidth="1"/>
    <col min="12" max="12" width="12.00390625" style="512" customWidth="1"/>
    <col min="13" max="16384" width="9.00390625" style="512" customWidth="1"/>
  </cols>
  <sheetData>
    <row r="1" spans="1:12" ht="22.5" customHeight="1">
      <c r="A1" s="1672" t="s">
        <v>117</v>
      </c>
      <c r="B1" s="1672"/>
      <c r="C1" s="529"/>
      <c r="D1" s="1694" t="s">
        <v>662</v>
      </c>
      <c r="E1" s="1694"/>
      <c r="F1" s="1694"/>
      <c r="G1" s="1694"/>
      <c r="H1" s="1694"/>
      <c r="I1" s="1694"/>
      <c r="J1" s="1690" t="s">
        <v>656</v>
      </c>
      <c r="K1" s="1691"/>
      <c r="L1" s="1691"/>
    </row>
    <row r="2" spans="1:12" ht="15.75" customHeight="1">
      <c r="A2" s="1665" t="s">
        <v>342</v>
      </c>
      <c r="B2" s="1666"/>
      <c r="C2" s="1666"/>
      <c r="D2" s="1694"/>
      <c r="E2" s="1694"/>
      <c r="F2" s="1694"/>
      <c r="G2" s="1694"/>
      <c r="H2" s="1694"/>
      <c r="I2" s="1694"/>
      <c r="J2" s="1692" t="str">
        <f>'Thong tin'!B4</f>
        <v>Cục THADS tỉnh Bình Thuận</v>
      </c>
      <c r="K2" s="1692"/>
      <c r="L2" s="1692"/>
    </row>
    <row r="3" spans="1:12" ht="15.75" customHeight="1">
      <c r="A3" s="668" t="s">
        <v>673</v>
      </c>
      <c r="D3" s="1695" t="str">
        <f>'Thong tin'!B3</f>
        <v>12 tháng / năm 2016</v>
      </c>
      <c r="E3" s="1695"/>
      <c r="F3" s="1695"/>
      <c r="G3" s="1695"/>
      <c r="H3" s="1695"/>
      <c r="I3" s="1695"/>
      <c r="J3" s="1693" t="s">
        <v>464</v>
      </c>
      <c r="K3" s="1693"/>
      <c r="L3" s="1693"/>
    </row>
    <row r="4" spans="1:12" ht="15.75" customHeight="1">
      <c r="A4" s="1670" t="s">
        <v>400</v>
      </c>
      <c r="B4" s="1670"/>
      <c r="C4" s="1670"/>
      <c r="D4" s="1661"/>
      <c r="E4" s="1661"/>
      <c r="F4" s="1661"/>
      <c r="G4" s="1661"/>
      <c r="H4" s="1661"/>
      <c r="I4" s="1661"/>
      <c r="J4" s="1691" t="s">
        <v>410</v>
      </c>
      <c r="K4" s="1691"/>
      <c r="L4" s="1691"/>
    </row>
    <row r="5" spans="1:12" ht="15.75">
      <c r="A5" s="530"/>
      <c r="B5" s="530"/>
      <c r="C5" s="513"/>
      <c r="D5" s="513"/>
      <c r="E5" s="513"/>
      <c r="F5" s="513"/>
      <c r="G5" s="513"/>
      <c r="H5" s="513"/>
      <c r="I5" s="513"/>
      <c r="J5" s="1696" t="s">
        <v>8</v>
      </c>
      <c r="K5" s="1696"/>
      <c r="L5" s="1696"/>
    </row>
    <row r="6" spans="1:12" ht="15.75" customHeight="1">
      <c r="A6" s="1689" t="s">
        <v>72</v>
      </c>
      <c r="B6" s="1689"/>
      <c r="C6" s="1680" t="s">
        <v>663</v>
      </c>
      <c r="D6" s="1697" t="s">
        <v>412</v>
      </c>
      <c r="E6" s="1697"/>
      <c r="F6" s="1697"/>
      <c r="G6" s="1697"/>
      <c r="H6" s="1697"/>
      <c r="I6" s="1697"/>
      <c r="J6" s="1689" t="s">
        <v>115</v>
      </c>
      <c r="K6" s="1689"/>
      <c r="L6" s="1689"/>
    </row>
    <row r="7" spans="1:12" ht="15.75" customHeight="1">
      <c r="A7" s="1689"/>
      <c r="B7" s="1689"/>
      <c r="C7" s="1680"/>
      <c r="D7" s="1698" t="s">
        <v>7</v>
      </c>
      <c r="E7" s="1698"/>
      <c r="F7" s="1698"/>
      <c r="G7" s="1698"/>
      <c r="H7" s="1698"/>
      <c r="I7" s="1698"/>
      <c r="J7" s="1680" t="s">
        <v>17</v>
      </c>
      <c r="K7" s="1680" t="s">
        <v>657</v>
      </c>
      <c r="L7" s="1680" t="s">
        <v>658</v>
      </c>
    </row>
    <row r="8" spans="1:12" ht="18.75" customHeight="1">
      <c r="A8" s="1689"/>
      <c r="B8" s="1689"/>
      <c r="C8" s="1680"/>
      <c r="D8" s="1689" t="s">
        <v>113</v>
      </c>
      <c r="E8" s="1689" t="s">
        <v>114</v>
      </c>
      <c r="F8" s="1689"/>
      <c r="G8" s="1689"/>
      <c r="H8" s="1689"/>
      <c r="I8" s="1689"/>
      <c r="J8" s="1680"/>
      <c r="K8" s="1680"/>
      <c r="L8" s="1680"/>
    </row>
    <row r="9" spans="1:12" ht="60.75" customHeight="1">
      <c r="A9" s="1689"/>
      <c r="B9" s="1689"/>
      <c r="C9" s="1680"/>
      <c r="D9" s="1689"/>
      <c r="E9" s="669" t="s">
        <v>116</v>
      </c>
      <c r="F9" s="670" t="s">
        <v>661</v>
      </c>
      <c r="G9" s="670" t="s">
        <v>660</v>
      </c>
      <c r="H9" s="670" t="s">
        <v>659</v>
      </c>
      <c r="I9" s="670" t="s">
        <v>25</v>
      </c>
      <c r="J9" s="1680"/>
      <c r="K9" s="1680"/>
      <c r="L9" s="1680"/>
    </row>
    <row r="10" spans="1:12" ht="13.5" customHeight="1">
      <c r="A10" s="1701" t="s">
        <v>5</v>
      </c>
      <c r="B10" s="1701"/>
      <c r="C10" s="540">
        <v>1</v>
      </c>
      <c r="D10" s="540" t="s">
        <v>53</v>
      </c>
      <c r="E10" s="540" t="s">
        <v>58</v>
      </c>
      <c r="F10" s="540" t="s">
        <v>73</v>
      </c>
      <c r="G10" s="540" t="s">
        <v>74</v>
      </c>
      <c r="H10" s="540" t="s">
        <v>75</v>
      </c>
      <c r="I10" s="540" t="s">
        <v>76</v>
      </c>
      <c r="J10" s="540" t="s">
        <v>77</v>
      </c>
      <c r="K10" s="540" t="s">
        <v>78</v>
      </c>
      <c r="L10" s="540" t="s">
        <v>101</v>
      </c>
    </row>
    <row r="11" spans="1:12" s="519" customFormat="1" ht="20.25" customHeight="1">
      <c r="A11" s="1702" t="s">
        <v>37</v>
      </c>
      <c r="B11" s="1703"/>
      <c r="C11" s="770">
        <f>C12+C13</f>
        <v>144</v>
      </c>
      <c r="D11" s="770">
        <f aca="true" t="shared" si="0" ref="D11:L11">D12+D13</f>
        <v>37</v>
      </c>
      <c r="E11" s="770">
        <f t="shared" si="0"/>
        <v>107</v>
      </c>
      <c r="F11" s="770">
        <f t="shared" si="0"/>
        <v>60</v>
      </c>
      <c r="G11" s="770">
        <f t="shared" si="0"/>
        <v>38</v>
      </c>
      <c r="H11" s="770">
        <f t="shared" si="0"/>
        <v>5</v>
      </c>
      <c r="I11" s="770">
        <f t="shared" si="0"/>
        <v>4</v>
      </c>
      <c r="J11" s="770">
        <f t="shared" si="0"/>
        <v>10</v>
      </c>
      <c r="K11" s="770">
        <f t="shared" si="0"/>
        <v>134</v>
      </c>
      <c r="L11" s="770">
        <f t="shared" si="0"/>
        <v>0</v>
      </c>
    </row>
    <row r="12" spans="1:12" s="519" customFormat="1" ht="20.25" customHeight="1">
      <c r="A12" s="771" t="s">
        <v>0</v>
      </c>
      <c r="B12" s="931" t="s">
        <v>98</v>
      </c>
      <c r="C12" s="770">
        <f>D12+E12</f>
        <v>7</v>
      </c>
      <c r="D12" s="940">
        <v>6</v>
      </c>
      <c r="E12" s="770">
        <f>F12+G12+H12+I12</f>
        <v>1</v>
      </c>
      <c r="F12" s="940">
        <v>0</v>
      </c>
      <c r="G12" s="940">
        <v>0</v>
      </c>
      <c r="H12" s="940">
        <v>0</v>
      </c>
      <c r="I12" s="940">
        <v>1</v>
      </c>
      <c r="J12" s="940">
        <v>0</v>
      </c>
      <c r="K12" s="940">
        <v>7</v>
      </c>
      <c r="L12" s="773">
        <v>0</v>
      </c>
    </row>
    <row r="13" spans="1:12" s="519" customFormat="1" ht="21" customHeight="1">
      <c r="A13" s="774" t="s">
        <v>1</v>
      </c>
      <c r="B13" s="924" t="s">
        <v>19</v>
      </c>
      <c r="C13" s="770">
        <f>C14+C15+C16+C17+C18+C19+C20+C21+C22+C23</f>
        <v>137</v>
      </c>
      <c r="D13" s="770">
        <f aca="true" t="shared" si="1" ref="D13:L13">D14+D15+D16+D17+D18+D19+D20+D21+D22+D23</f>
        <v>31</v>
      </c>
      <c r="E13" s="770">
        <f t="shared" si="1"/>
        <v>106</v>
      </c>
      <c r="F13" s="770">
        <f t="shared" si="1"/>
        <v>60</v>
      </c>
      <c r="G13" s="770">
        <f t="shared" si="1"/>
        <v>38</v>
      </c>
      <c r="H13" s="770">
        <f t="shared" si="1"/>
        <v>5</v>
      </c>
      <c r="I13" s="770">
        <f t="shared" si="1"/>
        <v>3</v>
      </c>
      <c r="J13" s="770">
        <f t="shared" si="1"/>
        <v>10</v>
      </c>
      <c r="K13" s="770">
        <f t="shared" si="1"/>
        <v>127</v>
      </c>
      <c r="L13" s="772">
        <f t="shared" si="1"/>
        <v>0</v>
      </c>
    </row>
    <row r="14" spans="1:12" s="519" customFormat="1" ht="21" customHeight="1">
      <c r="A14" s="775" t="s">
        <v>52</v>
      </c>
      <c r="B14" s="745" t="s">
        <v>748</v>
      </c>
      <c r="C14" s="770">
        <f>D14+E14</f>
        <v>17</v>
      </c>
      <c r="D14" s="940">
        <v>17</v>
      </c>
      <c r="E14" s="770">
        <f>F14+G14+H14+I14</f>
        <v>0</v>
      </c>
      <c r="F14" s="940">
        <v>0</v>
      </c>
      <c r="G14" s="940">
        <v>0</v>
      </c>
      <c r="H14" s="940">
        <v>0</v>
      </c>
      <c r="I14" s="940">
        <v>0</v>
      </c>
      <c r="J14" s="940">
        <v>0</v>
      </c>
      <c r="K14" s="940">
        <v>17</v>
      </c>
      <c r="L14" s="940">
        <v>0</v>
      </c>
    </row>
    <row r="15" spans="1:12" s="519" customFormat="1" ht="18.75" customHeight="1">
      <c r="A15" s="775">
        <v>2</v>
      </c>
      <c r="B15" s="745" t="s">
        <v>749</v>
      </c>
      <c r="C15" s="770">
        <f aca="true" t="shared" si="2" ref="C15:C23">D15+E15</f>
        <v>33</v>
      </c>
      <c r="D15" s="940">
        <v>2</v>
      </c>
      <c r="E15" s="770">
        <f aca="true" t="shared" si="3" ref="E15:E23">F15+G15+H15+I15</f>
        <v>31</v>
      </c>
      <c r="F15" s="940">
        <v>31</v>
      </c>
      <c r="G15" s="940">
        <v>0</v>
      </c>
      <c r="H15" s="940">
        <v>0</v>
      </c>
      <c r="I15" s="940">
        <v>0</v>
      </c>
      <c r="J15" s="940">
        <v>0</v>
      </c>
      <c r="K15" s="940">
        <v>33</v>
      </c>
      <c r="L15" s="940">
        <v>0</v>
      </c>
    </row>
    <row r="16" spans="1:12" s="519" customFormat="1" ht="18.75" customHeight="1">
      <c r="A16" s="775">
        <v>3</v>
      </c>
      <c r="B16" s="745" t="s">
        <v>750</v>
      </c>
      <c r="C16" s="770">
        <f t="shared" si="2"/>
        <v>24</v>
      </c>
      <c r="D16" s="940">
        <v>3</v>
      </c>
      <c r="E16" s="770">
        <f>F16+G16+H16+I16</f>
        <v>21</v>
      </c>
      <c r="F16" s="940">
        <v>21</v>
      </c>
      <c r="G16" s="940">
        <v>0</v>
      </c>
      <c r="H16" s="940">
        <v>0</v>
      </c>
      <c r="I16" s="940">
        <v>0</v>
      </c>
      <c r="J16" s="940">
        <v>3</v>
      </c>
      <c r="K16" s="940">
        <v>21</v>
      </c>
      <c r="L16" s="940">
        <v>0</v>
      </c>
    </row>
    <row r="17" spans="1:12" s="519" customFormat="1" ht="19.5" customHeight="1">
      <c r="A17" s="775">
        <v>4</v>
      </c>
      <c r="B17" s="745" t="s">
        <v>751</v>
      </c>
      <c r="C17" s="770">
        <f t="shared" si="2"/>
        <v>5</v>
      </c>
      <c r="D17" s="940">
        <v>0</v>
      </c>
      <c r="E17" s="770">
        <f t="shared" si="3"/>
        <v>5</v>
      </c>
      <c r="F17" s="940">
        <v>5</v>
      </c>
      <c r="G17" s="940">
        <v>0</v>
      </c>
      <c r="H17" s="940">
        <v>0</v>
      </c>
      <c r="I17" s="940">
        <v>0</v>
      </c>
      <c r="J17" s="940">
        <v>0</v>
      </c>
      <c r="K17" s="940">
        <v>5</v>
      </c>
      <c r="L17" s="940">
        <v>0</v>
      </c>
    </row>
    <row r="18" spans="1:12" s="519" customFormat="1" ht="20.25" customHeight="1">
      <c r="A18" s="775">
        <v>5</v>
      </c>
      <c r="B18" s="745" t="s">
        <v>752</v>
      </c>
      <c r="C18" s="770">
        <f t="shared" si="2"/>
        <v>38</v>
      </c>
      <c r="D18" s="940">
        <v>8</v>
      </c>
      <c r="E18" s="770">
        <f t="shared" si="3"/>
        <v>30</v>
      </c>
      <c r="F18" s="940">
        <v>0</v>
      </c>
      <c r="G18" s="940">
        <v>23</v>
      </c>
      <c r="H18" s="940">
        <v>4</v>
      </c>
      <c r="I18" s="940">
        <v>3</v>
      </c>
      <c r="J18" s="940">
        <v>6</v>
      </c>
      <c r="K18" s="940">
        <v>32</v>
      </c>
      <c r="L18" s="940">
        <v>0</v>
      </c>
    </row>
    <row r="19" spans="1:12" s="519" customFormat="1" ht="19.5" customHeight="1">
      <c r="A19" s="775">
        <v>6</v>
      </c>
      <c r="B19" s="745" t="s">
        <v>753</v>
      </c>
      <c r="C19" s="770">
        <f t="shared" si="2"/>
        <v>2</v>
      </c>
      <c r="D19" s="940">
        <v>0</v>
      </c>
      <c r="E19" s="770">
        <f t="shared" si="3"/>
        <v>2</v>
      </c>
      <c r="F19" s="940">
        <v>0</v>
      </c>
      <c r="G19" s="940">
        <v>2</v>
      </c>
      <c r="H19" s="940">
        <v>0</v>
      </c>
      <c r="I19" s="940">
        <v>0</v>
      </c>
      <c r="J19" s="940">
        <v>0</v>
      </c>
      <c r="K19" s="940">
        <v>2</v>
      </c>
      <c r="L19" s="940">
        <v>0</v>
      </c>
    </row>
    <row r="20" spans="1:12" s="519" customFormat="1" ht="18.75" customHeight="1">
      <c r="A20" s="775">
        <v>7</v>
      </c>
      <c r="B20" s="745" t="s">
        <v>754</v>
      </c>
      <c r="C20" s="770">
        <f t="shared" si="2"/>
        <v>0</v>
      </c>
      <c r="D20" s="940">
        <v>0</v>
      </c>
      <c r="E20" s="770">
        <f t="shared" si="3"/>
        <v>0</v>
      </c>
      <c r="F20" s="940">
        <v>0</v>
      </c>
      <c r="G20" s="940">
        <v>0</v>
      </c>
      <c r="H20" s="940">
        <v>0</v>
      </c>
      <c r="I20" s="940">
        <v>0</v>
      </c>
      <c r="J20" s="940">
        <v>0</v>
      </c>
      <c r="K20" s="940">
        <v>0</v>
      </c>
      <c r="L20" s="940">
        <v>0</v>
      </c>
    </row>
    <row r="21" spans="1:12" s="519" customFormat="1" ht="21.75" customHeight="1">
      <c r="A21" s="775">
        <v>8</v>
      </c>
      <c r="B21" s="745" t="s">
        <v>755</v>
      </c>
      <c r="C21" s="770">
        <f t="shared" si="2"/>
        <v>3</v>
      </c>
      <c r="D21" s="940">
        <v>0</v>
      </c>
      <c r="E21" s="770">
        <f t="shared" si="3"/>
        <v>3</v>
      </c>
      <c r="F21" s="940">
        <v>3</v>
      </c>
      <c r="G21" s="940">
        <v>0</v>
      </c>
      <c r="H21" s="940">
        <v>0</v>
      </c>
      <c r="I21" s="940">
        <v>0</v>
      </c>
      <c r="J21" s="940">
        <v>0</v>
      </c>
      <c r="K21" s="940">
        <v>3</v>
      </c>
      <c r="L21" s="940">
        <v>0</v>
      </c>
    </row>
    <row r="22" spans="1:12" s="519" customFormat="1" ht="20.25" customHeight="1">
      <c r="A22" s="775">
        <v>9</v>
      </c>
      <c r="B22" s="745" t="s">
        <v>756</v>
      </c>
      <c r="C22" s="770">
        <f t="shared" si="2"/>
        <v>14</v>
      </c>
      <c r="D22" s="940">
        <v>0</v>
      </c>
      <c r="E22" s="770">
        <f t="shared" si="3"/>
        <v>14</v>
      </c>
      <c r="F22" s="940">
        <v>0</v>
      </c>
      <c r="G22" s="940">
        <v>13</v>
      </c>
      <c r="H22" s="940">
        <v>1</v>
      </c>
      <c r="I22" s="940">
        <v>0</v>
      </c>
      <c r="J22" s="940">
        <v>0</v>
      </c>
      <c r="K22" s="940">
        <v>14</v>
      </c>
      <c r="L22" s="940">
        <v>0</v>
      </c>
    </row>
    <row r="23" spans="1:13" s="519" customFormat="1" ht="21" customHeight="1" thickBot="1">
      <c r="A23" s="776">
        <v>10</v>
      </c>
      <c r="B23" s="1005" t="s">
        <v>757</v>
      </c>
      <c r="C23" s="934">
        <f t="shared" si="2"/>
        <v>1</v>
      </c>
      <c r="D23" s="941">
        <v>1</v>
      </c>
      <c r="E23" s="934">
        <f t="shared" si="3"/>
        <v>0</v>
      </c>
      <c r="F23" s="941">
        <v>0</v>
      </c>
      <c r="G23" s="941">
        <v>0</v>
      </c>
      <c r="H23" s="941">
        <v>0</v>
      </c>
      <c r="I23" s="941">
        <v>0</v>
      </c>
      <c r="J23" s="941">
        <v>1</v>
      </c>
      <c r="K23" s="941">
        <v>0</v>
      </c>
      <c r="L23" s="941">
        <v>0</v>
      </c>
      <c r="M23" s="520"/>
    </row>
    <row r="24" spans="1:12" ht="6" customHeight="1" thickTop="1">
      <c r="A24" s="541"/>
      <c r="B24" s="542"/>
      <c r="C24" s="543"/>
      <c r="D24" s="543"/>
      <c r="E24" s="543"/>
      <c r="F24" s="543"/>
      <c r="G24" s="543"/>
      <c r="H24" s="543"/>
      <c r="I24" s="543"/>
      <c r="J24" s="543"/>
      <c r="K24" s="543"/>
      <c r="L24" s="543"/>
    </row>
    <row r="25" spans="2:12" ht="16.5" customHeight="1">
      <c r="B25" s="666"/>
      <c r="C25" s="666"/>
      <c r="D25" s="666"/>
      <c r="E25" s="666"/>
      <c r="F25" s="666"/>
      <c r="G25" s="666"/>
      <c r="H25" s="1704" t="str">
        <f>'Thong tin'!B9</f>
        <v>Bình Thuận, ngày 04 tháng 10 năm 2016</v>
      </c>
      <c r="I25" s="1704"/>
      <c r="J25" s="1704"/>
      <c r="K25" s="1704"/>
      <c r="L25" s="1704"/>
    </row>
    <row r="26" spans="1:12" ht="18.75">
      <c r="A26" s="544"/>
      <c r="B26" s="1706" t="s">
        <v>4</v>
      </c>
      <c r="C26" s="1706"/>
      <c r="D26" s="1706"/>
      <c r="E26" s="666"/>
      <c r="F26" s="666"/>
      <c r="G26" s="666"/>
      <c r="H26" s="1705" t="str">
        <f>'Thong tin'!B7</f>
        <v>KT. CỤC TRƯỞNG</v>
      </c>
      <c r="I26" s="1705"/>
      <c r="J26" s="1705"/>
      <c r="K26" s="1705"/>
      <c r="L26" s="1705"/>
    </row>
    <row r="27" spans="1:12" ht="16.5" customHeight="1">
      <c r="A27" s="545"/>
      <c r="B27" s="942"/>
      <c r="C27" s="942"/>
      <c r="D27" s="942"/>
      <c r="E27" s="942"/>
      <c r="F27" s="942"/>
      <c r="G27" s="942"/>
      <c r="H27" s="1708" t="str">
        <f>'Thong tin'!B8</f>
        <v>PHÓ CỤC TRƯỞNG</v>
      </c>
      <c r="I27" s="1708"/>
      <c r="J27" s="1708"/>
      <c r="K27" s="1708"/>
      <c r="L27" s="1708"/>
    </row>
    <row r="28" spans="1:12" ht="18.75">
      <c r="A28" s="525"/>
      <c r="B28" s="942"/>
      <c r="C28" s="942"/>
      <c r="D28" s="942"/>
      <c r="E28" s="942"/>
      <c r="F28" s="942"/>
      <c r="G28" s="942"/>
      <c r="H28" s="942"/>
      <c r="I28" s="514"/>
      <c r="J28" s="514"/>
      <c r="K28" s="514"/>
      <c r="L28" s="944"/>
    </row>
    <row r="29" spans="1:12" ht="9" customHeight="1">
      <c r="A29" s="525"/>
      <c r="B29" s="942"/>
      <c r="C29" s="942"/>
      <c r="D29" s="942"/>
      <c r="E29" s="942"/>
      <c r="F29" s="942"/>
      <c r="G29" s="942"/>
      <c r="H29" s="942"/>
      <c r="I29" s="942"/>
      <c r="J29" s="942"/>
      <c r="K29" s="944"/>
      <c r="L29" s="944"/>
    </row>
    <row r="30" spans="1:12" ht="18.75">
      <c r="A30" s="525"/>
      <c r="B30" s="942"/>
      <c r="C30" s="942"/>
      <c r="D30" s="942"/>
      <c r="E30" s="942"/>
      <c r="F30" s="942"/>
      <c r="G30" s="942"/>
      <c r="H30" s="942"/>
      <c r="I30" s="942"/>
      <c r="J30" s="942"/>
      <c r="K30" s="944"/>
      <c r="L30" s="944"/>
    </row>
    <row r="31" spans="1:12" ht="9" customHeight="1">
      <c r="A31" s="525"/>
      <c r="B31" s="942"/>
      <c r="C31" s="942"/>
      <c r="D31" s="942"/>
      <c r="E31" s="942"/>
      <c r="F31" s="942"/>
      <c r="G31" s="942"/>
      <c r="H31" s="942"/>
      <c r="I31" s="942"/>
      <c r="J31" s="942"/>
      <c r="K31" s="944"/>
      <c r="L31" s="944"/>
    </row>
    <row r="32" spans="1:12" ht="18.75">
      <c r="A32" s="525"/>
      <c r="B32" s="942"/>
      <c r="C32" s="942"/>
      <c r="D32" s="942"/>
      <c r="E32" s="942"/>
      <c r="F32" s="942"/>
      <c r="G32" s="942"/>
      <c r="H32" s="942"/>
      <c r="I32" s="942"/>
      <c r="J32" s="942"/>
      <c r="K32" s="944"/>
      <c r="L32" s="944"/>
    </row>
    <row r="33" spans="2:12" ht="16.5">
      <c r="B33" s="1700" t="str">
        <f>'Thong tin'!B5</f>
        <v>Trần Quốc Bảo</v>
      </c>
      <c r="C33" s="1700"/>
      <c r="D33" s="1700"/>
      <c r="E33" s="944"/>
      <c r="F33" s="944"/>
      <c r="G33" s="944"/>
      <c r="H33" s="1651" t="str">
        <f>'Thong tin'!B6</f>
        <v>Trần Nam</v>
      </c>
      <c r="I33" s="1651"/>
      <c r="J33" s="1651"/>
      <c r="K33" s="1651"/>
      <c r="L33" s="1651"/>
    </row>
    <row r="34" spans="1:12" ht="22.5" customHeight="1" hidden="1">
      <c r="A34" s="525"/>
      <c r="B34" s="545"/>
      <c r="C34" s="545"/>
      <c r="D34" s="545"/>
      <c r="E34" s="545"/>
      <c r="F34" s="545"/>
      <c r="G34" s="545"/>
      <c r="H34" s="545"/>
      <c r="I34" s="545"/>
      <c r="J34" s="545"/>
      <c r="K34" s="525"/>
      <c r="L34" s="525"/>
    </row>
    <row r="35" spans="1:12" ht="19.5" hidden="1">
      <c r="A35" s="547" t="s">
        <v>47</v>
      </c>
      <c r="B35" s="545"/>
      <c r="C35" s="545"/>
      <c r="D35" s="545"/>
      <c r="E35" s="545"/>
      <c r="F35" s="545"/>
      <c r="G35" s="545"/>
      <c r="H35" s="545"/>
      <c r="I35" s="545"/>
      <c r="J35" s="545"/>
      <c r="K35" s="525"/>
      <c r="L35" s="525"/>
    </row>
    <row r="36" spans="2:12" ht="15.75" customHeight="1" hidden="1">
      <c r="B36" s="1707" t="s">
        <v>59</v>
      </c>
      <c r="C36" s="1707"/>
      <c r="D36" s="1707"/>
      <c r="E36" s="1707"/>
      <c r="F36" s="1707"/>
      <c r="G36" s="1707"/>
      <c r="H36" s="1707"/>
      <c r="I36" s="1707"/>
      <c r="J36" s="1707"/>
      <c r="K36" s="1707"/>
      <c r="L36" s="1707"/>
    </row>
    <row r="37" spans="1:12" ht="16.5" customHeight="1" hidden="1">
      <c r="A37" s="548"/>
      <c r="B37" s="1699" t="s">
        <v>61</v>
      </c>
      <c r="C37" s="1699"/>
      <c r="D37" s="1699"/>
      <c r="E37" s="1699"/>
      <c r="F37" s="1699"/>
      <c r="G37" s="1699"/>
      <c r="H37" s="1699"/>
      <c r="I37" s="1699"/>
      <c r="J37" s="1699"/>
      <c r="K37" s="1699"/>
      <c r="L37" s="1699"/>
    </row>
    <row r="38" ht="15.75" hidden="1">
      <c r="B38" s="515" t="s">
        <v>60</v>
      </c>
    </row>
  </sheetData>
  <sheetProtection/>
  <mergeCells count="31">
    <mergeCell ref="B37:L37"/>
    <mergeCell ref="H33:L33"/>
    <mergeCell ref="B33:D33"/>
    <mergeCell ref="A10:B10"/>
    <mergeCell ref="A11:B11"/>
    <mergeCell ref="H25:L25"/>
    <mergeCell ref="H26:L26"/>
    <mergeCell ref="B26:D26"/>
    <mergeCell ref="B36:L36"/>
    <mergeCell ref="H27:L27"/>
    <mergeCell ref="A6:B9"/>
    <mergeCell ref="C6:C9"/>
    <mergeCell ref="D6:I6"/>
    <mergeCell ref="D7:I7"/>
    <mergeCell ref="D8:D9"/>
    <mergeCell ref="E8:I8"/>
    <mergeCell ref="A4:C4"/>
    <mergeCell ref="D4:I4"/>
    <mergeCell ref="J4:L4"/>
    <mergeCell ref="J5:L5"/>
    <mergeCell ref="J1:L1"/>
    <mergeCell ref="A2:C2"/>
    <mergeCell ref="J2:L2"/>
    <mergeCell ref="J3:L3"/>
    <mergeCell ref="D1:I2"/>
    <mergeCell ref="D3:I3"/>
    <mergeCell ref="A1:B1"/>
    <mergeCell ref="J6:L6"/>
    <mergeCell ref="J7:J9"/>
    <mergeCell ref="K7:K9"/>
    <mergeCell ref="L7:L9"/>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1"/>
  <sheetViews>
    <sheetView tabSelected="1" view="pageBreakPreview" zoomScaleSheetLayoutView="100" zoomScalePageLayoutView="0" workbookViewId="0" topLeftCell="A10">
      <selection activeCell="T20" sqref="T20"/>
    </sheetView>
  </sheetViews>
  <sheetFormatPr defaultColWidth="9.00390625" defaultRowHeight="15.75"/>
  <cols>
    <col min="1" max="1" width="3.50390625" style="553" customWidth="1"/>
    <col min="2" max="2" width="21.00390625" style="553" customWidth="1"/>
    <col min="3" max="8" width="5.75390625" style="553" customWidth="1"/>
    <col min="9" max="15" width="6.625" style="553" customWidth="1"/>
    <col min="16" max="21" width="5.75390625" style="553" customWidth="1"/>
    <col min="22" max="16384" width="9.00390625" style="553" customWidth="1"/>
  </cols>
  <sheetData>
    <row r="1" spans="1:22" ht="21" customHeight="1">
      <c r="A1" s="695" t="s">
        <v>674</v>
      </c>
      <c r="B1" s="490"/>
      <c r="C1" s="490"/>
      <c r="D1" s="487"/>
      <c r="E1" s="549"/>
      <c r="F1" s="1709" t="s">
        <v>584</v>
      </c>
      <c r="G1" s="1709"/>
      <c r="H1" s="1709"/>
      <c r="I1" s="1709"/>
      <c r="J1" s="1709"/>
      <c r="K1" s="1709"/>
      <c r="L1" s="1709"/>
      <c r="M1" s="1709"/>
      <c r="N1" s="1709"/>
      <c r="O1" s="550"/>
      <c r="P1" s="551" t="s">
        <v>398</v>
      </c>
      <c r="Q1" s="552"/>
      <c r="R1" s="552"/>
      <c r="S1" s="552"/>
      <c r="T1" s="552"/>
      <c r="V1" s="554"/>
    </row>
    <row r="2" spans="1:22" ht="15.75" customHeight="1">
      <c r="A2" s="1613" t="s">
        <v>342</v>
      </c>
      <c r="B2" s="1613"/>
      <c r="C2" s="1613"/>
      <c r="D2" s="1613"/>
      <c r="E2" s="696"/>
      <c r="F2" s="1709"/>
      <c r="G2" s="1709"/>
      <c r="H2" s="1709"/>
      <c r="I2" s="1709"/>
      <c r="J2" s="1709"/>
      <c r="K2" s="1709"/>
      <c r="L2" s="1709"/>
      <c r="M2" s="1709"/>
      <c r="N2" s="1709"/>
      <c r="O2" s="550"/>
      <c r="P2" s="672" t="str">
        <f>'Thong tin'!B4</f>
        <v>Cục THADS tỉnh Bình Thuận</v>
      </c>
      <c r="Q2" s="671"/>
      <c r="R2" s="552"/>
      <c r="S2" s="552"/>
      <c r="T2" s="552"/>
      <c r="V2" s="554"/>
    </row>
    <row r="3" spans="1:20" ht="16.5" customHeight="1">
      <c r="A3" s="1619" t="s">
        <v>343</v>
      </c>
      <c r="B3" s="1619"/>
      <c r="C3" s="1619"/>
      <c r="D3" s="1619"/>
      <c r="E3" s="696"/>
      <c r="F3" s="1710" t="str">
        <f>'Thong tin'!B3</f>
        <v>12 tháng / năm 2016</v>
      </c>
      <c r="G3" s="1711"/>
      <c r="H3" s="1711"/>
      <c r="I3" s="1711"/>
      <c r="J3" s="1711"/>
      <c r="K3" s="1711"/>
      <c r="L3" s="1711"/>
      <c r="M3" s="1711"/>
      <c r="N3" s="1711"/>
      <c r="O3" s="555"/>
      <c r="P3" s="673" t="s">
        <v>665</v>
      </c>
      <c r="Q3" s="552"/>
      <c r="R3" s="552"/>
      <c r="S3" s="552"/>
      <c r="T3" s="552"/>
    </row>
    <row r="4" spans="1:20" ht="15" customHeight="1">
      <c r="A4" s="489" t="s">
        <v>217</v>
      </c>
      <c r="B4" s="455"/>
      <c r="C4" s="455"/>
      <c r="D4" s="455"/>
      <c r="E4" s="556"/>
      <c r="F4" s="556"/>
      <c r="G4" s="556"/>
      <c r="H4" s="556"/>
      <c r="I4" s="556"/>
      <c r="J4" s="556"/>
      <c r="K4" s="556"/>
      <c r="L4" s="556"/>
      <c r="M4" s="556"/>
      <c r="N4" s="556"/>
      <c r="O4" s="556"/>
      <c r="P4" s="557" t="s">
        <v>585</v>
      </c>
      <c r="Q4" s="549"/>
      <c r="R4" s="549"/>
      <c r="S4" s="549"/>
      <c r="T4" s="549"/>
    </row>
    <row r="5" spans="1:21" ht="20.25" customHeight="1">
      <c r="A5" s="1712" t="s">
        <v>72</v>
      </c>
      <c r="B5" s="1713"/>
      <c r="C5" s="1716" t="s">
        <v>586</v>
      </c>
      <c r="D5" s="1716"/>
      <c r="E5" s="1716"/>
      <c r="F5" s="1716" t="s">
        <v>587</v>
      </c>
      <c r="G5" s="1716"/>
      <c r="H5" s="1716"/>
      <c r="I5" s="1716"/>
      <c r="J5" s="1716"/>
      <c r="K5" s="1716"/>
      <c r="L5" s="1716"/>
      <c r="M5" s="1716"/>
      <c r="N5" s="1716"/>
      <c r="O5" s="1716"/>
      <c r="P5" s="1716" t="s">
        <v>588</v>
      </c>
      <c r="Q5" s="1716"/>
      <c r="R5" s="1716"/>
      <c r="S5" s="1716"/>
      <c r="T5" s="1716"/>
      <c r="U5" s="1716"/>
    </row>
    <row r="6" spans="1:21" ht="19.5" customHeight="1">
      <c r="A6" s="1714"/>
      <c r="B6" s="1715"/>
      <c r="C6" s="1716"/>
      <c r="D6" s="1716"/>
      <c r="E6" s="1716"/>
      <c r="F6" s="1716" t="s">
        <v>589</v>
      </c>
      <c r="G6" s="1716"/>
      <c r="H6" s="1716"/>
      <c r="I6" s="1716" t="s">
        <v>590</v>
      </c>
      <c r="J6" s="1716"/>
      <c r="K6" s="1716"/>
      <c r="L6" s="1716"/>
      <c r="M6" s="1716"/>
      <c r="N6" s="1716"/>
      <c r="O6" s="1716"/>
      <c r="P6" s="1716" t="s">
        <v>37</v>
      </c>
      <c r="Q6" s="1716" t="s">
        <v>7</v>
      </c>
      <c r="R6" s="1716"/>
      <c r="S6" s="1716"/>
      <c r="T6" s="1716"/>
      <c r="U6" s="1716"/>
    </row>
    <row r="7" spans="1:22" ht="34.5" customHeight="1">
      <c r="A7" s="1714"/>
      <c r="B7" s="1715"/>
      <c r="C7" s="1716"/>
      <c r="D7" s="1716"/>
      <c r="E7" s="1716"/>
      <c r="F7" s="1716"/>
      <c r="G7" s="1716"/>
      <c r="H7" s="1716"/>
      <c r="I7" s="1716" t="s">
        <v>591</v>
      </c>
      <c r="J7" s="1716"/>
      <c r="K7" s="1716"/>
      <c r="L7" s="1716" t="s">
        <v>592</v>
      </c>
      <c r="M7" s="1716"/>
      <c r="N7" s="1716"/>
      <c r="O7" s="1716"/>
      <c r="P7" s="1716"/>
      <c r="Q7" s="1716" t="s">
        <v>664</v>
      </c>
      <c r="R7" s="1716" t="s">
        <v>594</v>
      </c>
      <c r="S7" s="1716" t="s">
        <v>595</v>
      </c>
      <c r="T7" s="1716" t="s">
        <v>596</v>
      </c>
      <c r="U7" s="1716" t="s">
        <v>597</v>
      </c>
      <c r="V7" s="553" t="s">
        <v>598</v>
      </c>
    </row>
    <row r="8" spans="1:21" ht="18.75" customHeight="1">
      <c r="A8" s="1714"/>
      <c r="B8" s="1715"/>
      <c r="C8" s="1716" t="s">
        <v>37</v>
      </c>
      <c r="D8" s="1716" t="s">
        <v>7</v>
      </c>
      <c r="E8" s="1716"/>
      <c r="F8" s="1716" t="s">
        <v>37</v>
      </c>
      <c r="G8" s="1716" t="s">
        <v>7</v>
      </c>
      <c r="H8" s="1716"/>
      <c r="I8" s="1716" t="s">
        <v>37</v>
      </c>
      <c r="J8" s="1716" t="s">
        <v>7</v>
      </c>
      <c r="K8" s="1716"/>
      <c r="L8" s="1716" t="s">
        <v>37</v>
      </c>
      <c r="M8" s="1716" t="s">
        <v>599</v>
      </c>
      <c r="N8" s="1716"/>
      <c r="O8" s="1716"/>
      <c r="P8" s="1716"/>
      <c r="Q8" s="1717"/>
      <c r="R8" s="1716"/>
      <c r="S8" s="1716"/>
      <c r="T8" s="1716"/>
      <c r="U8" s="1716"/>
    </row>
    <row r="9" spans="1:23" ht="122.25" customHeight="1">
      <c r="A9" s="1714"/>
      <c r="B9" s="1715"/>
      <c r="C9" s="1716"/>
      <c r="D9" s="559" t="s">
        <v>600</v>
      </c>
      <c r="E9" s="559" t="s">
        <v>607</v>
      </c>
      <c r="F9" s="1716"/>
      <c r="G9" s="559" t="s">
        <v>600</v>
      </c>
      <c r="H9" s="559" t="s">
        <v>601</v>
      </c>
      <c r="I9" s="1716"/>
      <c r="J9" s="559" t="s">
        <v>602</v>
      </c>
      <c r="K9" s="559" t="s">
        <v>603</v>
      </c>
      <c r="L9" s="1716"/>
      <c r="M9" s="559" t="s">
        <v>604</v>
      </c>
      <c r="N9" s="559" t="s">
        <v>605</v>
      </c>
      <c r="O9" s="559" t="s">
        <v>606</v>
      </c>
      <c r="P9" s="1716"/>
      <c r="Q9" s="1717"/>
      <c r="R9" s="1716"/>
      <c r="S9" s="1716"/>
      <c r="T9" s="1716"/>
      <c r="U9" s="1716"/>
      <c r="V9" s="560"/>
      <c r="W9" s="560"/>
    </row>
    <row r="10" spans="1:29" ht="12.75">
      <c r="A10" s="562"/>
      <c r="B10" s="563" t="s">
        <v>608</v>
      </c>
      <c r="C10" s="564">
        <v>1</v>
      </c>
      <c r="D10" s="565">
        <v>2</v>
      </c>
      <c r="E10" s="564">
        <v>3</v>
      </c>
      <c r="F10" s="565">
        <v>4</v>
      </c>
      <c r="G10" s="564">
        <v>5</v>
      </c>
      <c r="H10" s="565">
        <v>6</v>
      </c>
      <c r="I10" s="564">
        <v>7</v>
      </c>
      <c r="J10" s="565">
        <v>8</v>
      </c>
      <c r="K10" s="564">
        <v>9</v>
      </c>
      <c r="L10" s="565">
        <v>10</v>
      </c>
      <c r="M10" s="564">
        <v>11</v>
      </c>
      <c r="N10" s="565">
        <v>12</v>
      </c>
      <c r="O10" s="564">
        <v>13</v>
      </c>
      <c r="P10" s="565">
        <v>14</v>
      </c>
      <c r="Q10" s="564">
        <v>15</v>
      </c>
      <c r="R10" s="565">
        <v>16</v>
      </c>
      <c r="S10" s="564">
        <v>17</v>
      </c>
      <c r="T10" s="565">
        <v>18</v>
      </c>
      <c r="U10" s="564">
        <v>19</v>
      </c>
      <c r="V10" s="561"/>
      <c r="W10" s="560"/>
      <c r="X10" s="560"/>
      <c r="Y10" s="560"/>
      <c r="Z10" s="560"/>
      <c r="AA10" s="560"/>
      <c r="AB10" s="560"/>
      <c r="AC10" s="560"/>
    </row>
    <row r="11" spans="1:29" s="568" customFormat="1" ht="16.5" customHeight="1">
      <c r="A11" s="1718" t="s">
        <v>37</v>
      </c>
      <c r="B11" s="1719"/>
      <c r="C11" s="761">
        <f aca="true" t="shared" si="0" ref="C11:U11">C12+C13</f>
        <v>41</v>
      </c>
      <c r="D11" s="761">
        <f t="shared" si="0"/>
        <v>1</v>
      </c>
      <c r="E11" s="761">
        <f t="shared" si="0"/>
        <v>40</v>
      </c>
      <c r="F11" s="761">
        <f t="shared" si="0"/>
        <v>41</v>
      </c>
      <c r="G11" s="761">
        <f t="shared" si="0"/>
        <v>1</v>
      </c>
      <c r="H11" s="761">
        <f t="shared" si="0"/>
        <v>40</v>
      </c>
      <c r="I11" s="761">
        <f t="shared" si="0"/>
        <v>41</v>
      </c>
      <c r="J11" s="761">
        <f t="shared" si="0"/>
        <v>35</v>
      </c>
      <c r="K11" s="761">
        <f t="shared" si="0"/>
        <v>6</v>
      </c>
      <c r="L11" s="761">
        <f t="shared" si="0"/>
        <v>0</v>
      </c>
      <c r="M11" s="761">
        <f t="shared" si="0"/>
        <v>0</v>
      </c>
      <c r="N11" s="761">
        <f t="shared" si="0"/>
        <v>0</v>
      </c>
      <c r="O11" s="761">
        <f t="shared" si="0"/>
        <v>0</v>
      </c>
      <c r="P11" s="761">
        <f t="shared" si="0"/>
        <v>41</v>
      </c>
      <c r="Q11" s="761">
        <f t="shared" si="0"/>
        <v>10</v>
      </c>
      <c r="R11" s="761">
        <f t="shared" si="0"/>
        <v>5</v>
      </c>
      <c r="S11" s="761">
        <f t="shared" si="0"/>
        <v>5</v>
      </c>
      <c r="T11" s="761">
        <f t="shared" si="0"/>
        <v>19</v>
      </c>
      <c r="U11" s="761">
        <f t="shared" si="0"/>
        <v>2</v>
      </c>
      <c r="V11" s="566"/>
      <c r="W11" s="567"/>
      <c r="X11" s="567"/>
      <c r="Y11" s="567"/>
      <c r="Z11" s="567"/>
      <c r="AA11" s="567"/>
      <c r="AB11" s="567"/>
      <c r="AC11" s="567"/>
    </row>
    <row r="12" spans="1:29" s="568" customFormat="1" ht="16.5" customHeight="1">
      <c r="A12" s="762" t="s">
        <v>0</v>
      </c>
      <c r="B12" s="763" t="s">
        <v>98</v>
      </c>
      <c r="C12" s="764">
        <f>D12+E12</f>
        <v>9</v>
      </c>
      <c r="D12" s="765">
        <v>0</v>
      </c>
      <c r="E12" s="765">
        <v>9</v>
      </c>
      <c r="F12" s="766">
        <f>G12+H12</f>
        <v>9</v>
      </c>
      <c r="G12" s="767">
        <v>0</v>
      </c>
      <c r="H12" s="767">
        <v>9</v>
      </c>
      <c r="I12" s="748">
        <f>J12+K12</f>
        <v>9</v>
      </c>
      <c r="J12" s="749">
        <v>3</v>
      </c>
      <c r="K12" s="749">
        <v>6</v>
      </c>
      <c r="L12" s="748">
        <f>M12+N12+O12</f>
        <v>0</v>
      </c>
      <c r="M12" s="749">
        <v>0</v>
      </c>
      <c r="N12" s="749">
        <v>0</v>
      </c>
      <c r="O12" s="749">
        <v>0</v>
      </c>
      <c r="P12" s="766">
        <f>Q12+R12+S12+T12+U12</f>
        <v>9</v>
      </c>
      <c r="Q12" s="749">
        <v>2</v>
      </c>
      <c r="R12" s="749">
        <v>0</v>
      </c>
      <c r="S12" s="749">
        <v>0</v>
      </c>
      <c r="T12" s="749">
        <v>6</v>
      </c>
      <c r="U12" s="749">
        <v>1</v>
      </c>
      <c r="V12" s="569"/>
      <c r="W12" s="567"/>
      <c r="X12" s="567"/>
      <c r="Y12" s="567"/>
      <c r="Z12" s="567"/>
      <c r="AA12" s="567"/>
      <c r="AB12" s="567"/>
      <c r="AC12" s="567"/>
    </row>
    <row r="13" spans="1:29" s="568" customFormat="1" ht="16.5" customHeight="1">
      <c r="A13" s="768" t="s">
        <v>1</v>
      </c>
      <c r="B13" s="769" t="s">
        <v>19</v>
      </c>
      <c r="C13" s="764">
        <f>C14+C15+C16+C17+C18+C19+C20+C21+C22+C23</f>
        <v>32</v>
      </c>
      <c r="D13" s="764">
        <f aca="true" t="shared" si="1" ref="D13:U13">D14+D15+D16+D17+D18+D19+D20+D21+D22+D23</f>
        <v>1</v>
      </c>
      <c r="E13" s="764">
        <f t="shared" si="1"/>
        <v>31</v>
      </c>
      <c r="F13" s="764">
        <f t="shared" si="1"/>
        <v>32</v>
      </c>
      <c r="G13" s="764">
        <f t="shared" si="1"/>
        <v>1</v>
      </c>
      <c r="H13" s="764">
        <f t="shared" si="1"/>
        <v>31</v>
      </c>
      <c r="I13" s="764">
        <f t="shared" si="1"/>
        <v>32</v>
      </c>
      <c r="J13" s="764">
        <f t="shared" si="1"/>
        <v>32</v>
      </c>
      <c r="K13" s="764">
        <f t="shared" si="1"/>
        <v>0</v>
      </c>
      <c r="L13" s="764">
        <f t="shared" si="1"/>
        <v>0</v>
      </c>
      <c r="M13" s="764">
        <f t="shared" si="1"/>
        <v>0</v>
      </c>
      <c r="N13" s="764">
        <f t="shared" si="1"/>
        <v>0</v>
      </c>
      <c r="O13" s="764">
        <f t="shared" si="1"/>
        <v>0</v>
      </c>
      <c r="P13" s="764">
        <f t="shared" si="1"/>
        <v>32</v>
      </c>
      <c r="Q13" s="764">
        <f t="shared" si="1"/>
        <v>8</v>
      </c>
      <c r="R13" s="764">
        <f t="shared" si="1"/>
        <v>5</v>
      </c>
      <c r="S13" s="764">
        <f t="shared" si="1"/>
        <v>5</v>
      </c>
      <c r="T13" s="764">
        <f t="shared" si="1"/>
        <v>13</v>
      </c>
      <c r="U13" s="764">
        <f t="shared" si="1"/>
        <v>1</v>
      </c>
      <c r="V13" s="567"/>
      <c r="W13" s="567"/>
      <c r="X13" s="567"/>
      <c r="Y13" s="567"/>
      <c r="Z13" s="567"/>
      <c r="AA13" s="567"/>
      <c r="AB13" s="567"/>
      <c r="AC13" s="567"/>
    </row>
    <row r="14" spans="1:29" s="568" customFormat="1" ht="15.75" customHeight="1">
      <c r="A14" s="758" t="s">
        <v>52</v>
      </c>
      <c r="B14" s="745" t="s">
        <v>748</v>
      </c>
      <c r="C14" s="952">
        <f aca="true" t="shared" si="2" ref="C14:C23">D14+E14</f>
        <v>7</v>
      </c>
      <c r="D14" s="1012">
        <v>0</v>
      </c>
      <c r="E14" s="1012">
        <v>7</v>
      </c>
      <c r="F14" s="953">
        <f aca="true" t="shared" si="3" ref="F14:F23">G14+H14</f>
        <v>7</v>
      </c>
      <c r="G14" s="954">
        <v>0</v>
      </c>
      <c r="H14" s="954">
        <v>7</v>
      </c>
      <c r="I14" s="955">
        <f aca="true" t="shared" si="4" ref="I14:I23">J14+K14</f>
        <v>7</v>
      </c>
      <c r="J14" s="742">
        <v>7</v>
      </c>
      <c r="K14" s="742">
        <v>0</v>
      </c>
      <c r="L14" s="955">
        <f aca="true" t="shared" si="5" ref="L14:L23">M14+N14+O14</f>
        <v>0</v>
      </c>
      <c r="M14" s="742">
        <v>0</v>
      </c>
      <c r="N14" s="742">
        <v>0</v>
      </c>
      <c r="O14" s="742">
        <v>0</v>
      </c>
      <c r="P14" s="953">
        <f aca="true" t="shared" si="6" ref="P14:P23">Q14+R14+S14+T14+U14</f>
        <v>7</v>
      </c>
      <c r="Q14" s="742">
        <v>5</v>
      </c>
      <c r="R14" s="742">
        <v>1</v>
      </c>
      <c r="S14" s="742">
        <v>0</v>
      </c>
      <c r="T14" s="742">
        <v>1</v>
      </c>
      <c r="U14" s="742">
        <v>0</v>
      </c>
      <c r="V14" s="567"/>
      <c r="W14" s="567"/>
      <c r="X14" s="567"/>
      <c r="Y14" s="567"/>
      <c r="Z14" s="567"/>
      <c r="AA14" s="567"/>
      <c r="AB14" s="567"/>
      <c r="AC14" s="567"/>
    </row>
    <row r="15" spans="1:29" s="568" customFormat="1" ht="15.75" customHeight="1">
      <c r="A15" s="758" t="s">
        <v>53</v>
      </c>
      <c r="B15" s="745" t="s">
        <v>749</v>
      </c>
      <c r="C15" s="952">
        <f t="shared" si="2"/>
        <v>3</v>
      </c>
      <c r="D15" s="1012">
        <v>0</v>
      </c>
      <c r="E15" s="1012">
        <v>3</v>
      </c>
      <c r="F15" s="953">
        <f t="shared" si="3"/>
        <v>3</v>
      </c>
      <c r="G15" s="954">
        <v>0</v>
      </c>
      <c r="H15" s="954">
        <v>3</v>
      </c>
      <c r="I15" s="955">
        <f t="shared" si="4"/>
        <v>3</v>
      </c>
      <c r="J15" s="742">
        <v>3</v>
      </c>
      <c r="K15" s="742">
        <v>0</v>
      </c>
      <c r="L15" s="955">
        <f t="shared" si="5"/>
        <v>0</v>
      </c>
      <c r="M15" s="742">
        <v>0</v>
      </c>
      <c r="N15" s="742">
        <v>0</v>
      </c>
      <c r="O15" s="742">
        <v>0</v>
      </c>
      <c r="P15" s="953">
        <f t="shared" si="6"/>
        <v>3</v>
      </c>
      <c r="Q15" s="742">
        <v>0</v>
      </c>
      <c r="R15" s="742">
        <v>3</v>
      </c>
      <c r="S15" s="742">
        <v>0</v>
      </c>
      <c r="T15" s="742">
        <v>0</v>
      </c>
      <c r="U15" s="742">
        <v>0</v>
      </c>
      <c r="V15" s="567"/>
      <c r="W15" s="567"/>
      <c r="X15" s="567"/>
      <c r="Y15" s="567"/>
      <c r="Z15" s="567"/>
      <c r="AA15" s="567"/>
      <c r="AB15" s="567"/>
      <c r="AC15" s="567"/>
    </row>
    <row r="16" spans="1:29" s="568" customFormat="1" ht="15.75" customHeight="1">
      <c r="A16" s="758" t="s">
        <v>58</v>
      </c>
      <c r="B16" s="745" t="s">
        <v>750</v>
      </c>
      <c r="C16" s="952">
        <f t="shared" si="2"/>
        <v>6</v>
      </c>
      <c r="D16" s="956">
        <v>0</v>
      </c>
      <c r="E16" s="956">
        <v>6</v>
      </c>
      <c r="F16" s="953">
        <f t="shared" si="3"/>
        <v>6</v>
      </c>
      <c r="G16" s="954">
        <v>0</v>
      </c>
      <c r="H16" s="954">
        <v>6</v>
      </c>
      <c r="I16" s="955">
        <f t="shared" si="4"/>
        <v>6</v>
      </c>
      <c r="J16" s="742">
        <v>6</v>
      </c>
      <c r="K16" s="742">
        <v>0</v>
      </c>
      <c r="L16" s="955">
        <f t="shared" si="5"/>
        <v>0</v>
      </c>
      <c r="M16" s="742">
        <v>0</v>
      </c>
      <c r="N16" s="742">
        <v>0</v>
      </c>
      <c r="O16" s="742">
        <v>0</v>
      </c>
      <c r="P16" s="953">
        <f t="shared" si="6"/>
        <v>6</v>
      </c>
      <c r="Q16" s="742">
        <v>3</v>
      </c>
      <c r="R16" s="742">
        <v>0</v>
      </c>
      <c r="S16" s="742">
        <v>0</v>
      </c>
      <c r="T16" s="742">
        <v>3</v>
      </c>
      <c r="U16" s="742">
        <v>0</v>
      </c>
      <c r="V16" s="567"/>
      <c r="W16" s="567"/>
      <c r="X16" s="567"/>
      <c r="Y16" s="567"/>
      <c r="Z16" s="567"/>
      <c r="AA16" s="567"/>
      <c r="AB16" s="567"/>
      <c r="AC16" s="567"/>
    </row>
    <row r="17" spans="1:29" s="568" customFormat="1" ht="15.75" customHeight="1">
      <c r="A17" s="758" t="s">
        <v>73</v>
      </c>
      <c r="B17" s="745" t="s">
        <v>751</v>
      </c>
      <c r="C17" s="952">
        <f t="shared" si="2"/>
        <v>1</v>
      </c>
      <c r="D17" s="956">
        <v>0</v>
      </c>
      <c r="E17" s="956">
        <v>1</v>
      </c>
      <c r="F17" s="953">
        <f t="shared" si="3"/>
        <v>1</v>
      </c>
      <c r="G17" s="954">
        <v>0</v>
      </c>
      <c r="H17" s="954">
        <v>1</v>
      </c>
      <c r="I17" s="955">
        <f t="shared" si="4"/>
        <v>1</v>
      </c>
      <c r="J17" s="742">
        <v>1</v>
      </c>
      <c r="K17" s="742">
        <v>0</v>
      </c>
      <c r="L17" s="955">
        <f t="shared" si="5"/>
        <v>0</v>
      </c>
      <c r="M17" s="742">
        <v>0</v>
      </c>
      <c r="N17" s="742">
        <v>0</v>
      </c>
      <c r="O17" s="742">
        <v>0</v>
      </c>
      <c r="P17" s="953">
        <f t="shared" si="6"/>
        <v>1</v>
      </c>
      <c r="Q17" s="742">
        <v>0</v>
      </c>
      <c r="R17" s="742">
        <v>1</v>
      </c>
      <c r="S17" s="742">
        <v>0</v>
      </c>
      <c r="T17" s="742">
        <v>0</v>
      </c>
      <c r="U17" s="742">
        <v>0</v>
      </c>
      <c r="V17" s="567"/>
      <c r="W17" s="567"/>
      <c r="X17" s="567"/>
      <c r="Y17" s="567"/>
      <c r="Z17" s="567"/>
      <c r="AA17" s="567"/>
      <c r="AB17" s="567"/>
      <c r="AC17" s="567"/>
    </row>
    <row r="18" spans="1:29" s="568" customFormat="1" ht="15.75" customHeight="1">
      <c r="A18" s="758" t="s">
        <v>74</v>
      </c>
      <c r="B18" s="745" t="s">
        <v>752</v>
      </c>
      <c r="C18" s="952">
        <f t="shared" si="2"/>
        <v>7</v>
      </c>
      <c r="D18" s="956">
        <v>0</v>
      </c>
      <c r="E18" s="956">
        <v>7</v>
      </c>
      <c r="F18" s="953">
        <f t="shared" si="3"/>
        <v>7</v>
      </c>
      <c r="G18" s="954">
        <v>0</v>
      </c>
      <c r="H18" s="954">
        <v>7</v>
      </c>
      <c r="I18" s="955">
        <f>J18+K18</f>
        <v>7</v>
      </c>
      <c r="J18" s="742">
        <v>7</v>
      </c>
      <c r="K18" s="742">
        <v>0</v>
      </c>
      <c r="L18" s="955">
        <f t="shared" si="5"/>
        <v>0</v>
      </c>
      <c r="M18" s="742">
        <v>0</v>
      </c>
      <c r="N18" s="742">
        <v>0</v>
      </c>
      <c r="O18" s="742">
        <v>0</v>
      </c>
      <c r="P18" s="953">
        <f t="shared" si="6"/>
        <v>7</v>
      </c>
      <c r="Q18" s="742">
        <v>0</v>
      </c>
      <c r="R18" s="742">
        <v>0</v>
      </c>
      <c r="S18" s="742">
        <v>2</v>
      </c>
      <c r="T18" s="742">
        <v>5</v>
      </c>
      <c r="U18" s="742">
        <v>0</v>
      </c>
      <c r="V18" s="567"/>
      <c r="W18" s="567"/>
      <c r="X18" s="567"/>
      <c r="Y18" s="567"/>
      <c r="Z18" s="567"/>
      <c r="AA18" s="567"/>
      <c r="AB18" s="567"/>
      <c r="AC18" s="567"/>
    </row>
    <row r="19" spans="1:29" s="568" customFormat="1" ht="15.75" customHeight="1">
      <c r="A19" s="758" t="s">
        <v>75</v>
      </c>
      <c r="B19" s="745" t="s">
        <v>753</v>
      </c>
      <c r="C19" s="952">
        <f t="shared" si="2"/>
        <v>1</v>
      </c>
      <c r="D19" s="956">
        <v>0</v>
      </c>
      <c r="E19" s="956">
        <v>1</v>
      </c>
      <c r="F19" s="953">
        <f t="shared" si="3"/>
        <v>1</v>
      </c>
      <c r="G19" s="954">
        <v>0</v>
      </c>
      <c r="H19" s="954">
        <v>1</v>
      </c>
      <c r="I19" s="955">
        <f t="shared" si="4"/>
        <v>1</v>
      </c>
      <c r="J19" s="742">
        <v>1</v>
      </c>
      <c r="K19" s="742">
        <v>0</v>
      </c>
      <c r="L19" s="955">
        <f t="shared" si="5"/>
        <v>0</v>
      </c>
      <c r="M19" s="742">
        <v>0</v>
      </c>
      <c r="N19" s="742">
        <v>0</v>
      </c>
      <c r="O19" s="742">
        <v>0</v>
      </c>
      <c r="P19" s="953">
        <f t="shared" si="6"/>
        <v>1</v>
      </c>
      <c r="Q19" s="742">
        <v>0</v>
      </c>
      <c r="R19" s="742">
        <v>0</v>
      </c>
      <c r="S19" s="742">
        <v>0</v>
      </c>
      <c r="T19" s="742">
        <v>1</v>
      </c>
      <c r="U19" s="742">
        <v>0</v>
      </c>
      <c r="V19" s="567"/>
      <c r="W19" s="567"/>
      <c r="X19" s="567"/>
      <c r="Y19" s="567"/>
      <c r="Z19" s="567"/>
      <c r="AA19" s="567"/>
      <c r="AB19" s="567"/>
      <c r="AC19" s="567"/>
    </row>
    <row r="20" spans="1:29" s="568" customFormat="1" ht="15.75" customHeight="1">
      <c r="A20" s="758" t="s">
        <v>76</v>
      </c>
      <c r="B20" s="745" t="s">
        <v>754</v>
      </c>
      <c r="C20" s="952">
        <f t="shared" si="2"/>
        <v>3</v>
      </c>
      <c r="D20" s="956">
        <v>1</v>
      </c>
      <c r="E20" s="956">
        <v>2</v>
      </c>
      <c r="F20" s="953">
        <f t="shared" si="3"/>
        <v>3</v>
      </c>
      <c r="G20" s="954">
        <v>1</v>
      </c>
      <c r="H20" s="954">
        <v>2</v>
      </c>
      <c r="I20" s="955">
        <f t="shared" si="4"/>
        <v>3</v>
      </c>
      <c r="J20" s="742">
        <v>3</v>
      </c>
      <c r="K20" s="742">
        <v>0</v>
      </c>
      <c r="L20" s="955">
        <f t="shared" si="5"/>
        <v>0</v>
      </c>
      <c r="M20" s="742">
        <v>0</v>
      </c>
      <c r="N20" s="742">
        <v>0</v>
      </c>
      <c r="O20" s="742">
        <v>0</v>
      </c>
      <c r="P20" s="953">
        <f t="shared" si="6"/>
        <v>3</v>
      </c>
      <c r="Q20" s="742">
        <v>0</v>
      </c>
      <c r="R20" s="742">
        <v>0</v>
      </c>
      <c r="S20" s="742">
        <v>2</v>
      </c>
      <c r="T20" s="742">
        <v>0</v>
      </c>
      <c r="U20" s="742">
        <v>1</v>
      </c>
      <c r="V20" s="567"/>
      <c r="W20" s="567"/>
      <c r="X20" s="567"/>
      <c r="Y20" s="567"/>
      <c r="Z20" s="567"/>
      <c r="AA20" s="567"/>
      <c r="AB20" s="567"/>
      <c r="AC20" s="567"/>
    </row>
    <row r="21" spans="1:29" s="568" customFormat="1" ht="15.75" customHeight="1">
      <c r="A21" s="758" t="s">
        <v>77</v>
      </c>
      <c r="B21" s="745" t="s">
        <v>755</v>
      </c>
      <c r="C21" s="952">
        <f t="shared" si="2"/>
        <v>1</v>
      </c>
      <c r="D21" s="956">
        <v>0</v>
      </c>
      <c r="E21" s="956">
        <v>1</v>
      </c>
      <c r="F21" s="953">
        <f t="shared" si="3"/>
        <v>1</v>
      </c>
      <c r="G21" s="954">
        <v>0</v>
      </c>
      <c r="H21" s="954">
        <v>1</v>
      </c>
      <c r="I21" s="955">
        <f t="shared" si="4"/>
        <v>1</v>
      </c>
      <c r="J21" s="742">
        <v>1</v>
      </c>
      <c r="K21" s="742">
        <v>0</v>
      </c>
      <c r="L21" s="955">
        <f t="shared" si="5"/>
        <v>0</v>
      </c>
      <c r="M21" s="742">
        <v>0</v>
      </c>
      <c r="N21" s="742">
        <v>0</v>
      </c>
      <c r="O21" s="742">
        <v>0</v>
      </c>
      <c r="P21" s="953">
        <f t="shared" si="6"/>
        <v>1</v>
      </c>
      <c r="Q21" s="742">
        <v>0</v>
      </c>
      <c r="R21" s="742">
        <v>0</v>
      </c>
      <c r="S21" s="742">
        <v>1</v>
      </c>
      <c r="T21" s="742">
        <v>0</v>
      </c>
      <c r="U21" s="742">
        <v>0</v>
      </c>
      <c r="V21" s="567"/>
      <c r="W21" s="567"/>
      <c r="X21" s="567"/>
      <c r="Y21" s="567"/>
      <c r="Z21" s="567"/>
      <c r="AA21" s="567"/>
      <c r="AB21" s="567"/>
      <c r="AC21" s="567"/>
    </row>
    <row r="22" spans="1:29" s="568" customFormat="1" ht="15.75" customHeight="1">
      <c r="A22" s="758" t="s">
        <v>78</v>
      </c>
      <c r="B22" s="745" t="s">
        <v>756</v>
      </c>
      <c r="C22" s="952">
        <f t="shared" si="2"/>
        <v>3</v>
      </c>
      <c r="D22" s="956">
        <v>0</v>
      </c>
      <c r="E22" s="956">
        <v>3</v>
      </c>
      <c r="F22" s="953">
        <f t="shared" si="3"/>
        <v>3</v>
      </c>
      <c r="G22" s="954">
        <v>0</v>
      </c>
      <c r="H22" s="954">
        <v>3</v>
      </c>
      <c r="I22" s="955">
        <f t="shared" si="4"/>
        <v>3</v>
      </c>
      <c r="J22" s="742">
        <v>3</v>
      </c>
      <c r="K22" s="742">
        <v>0</v>
      </c>
      <c r="L22" s="955">
        <f t="shared" si="5"/>
        <v>0</v>
      </c>
      <c r="M22" s="742">
        <v>0</v>
      </c>
      <c r="N22" s="742">
        <v>0</v>
      </c>
      <c r="O22" s="742">
        <v>0</v>
      </c>
      <c r="P22" s="953">
        <f t="shared" si="6"/>
        <v>3</v>
      </c>
      <c r="Q22" s="742">
        <v>0</v>
      </c>
      <c r="R22" s="742">
        <v>0</v>
      </c>
      <c r="S22" s="742">
        <v>0</v>
      </c>
      <c r="T22" s="742">
        <v>3</v>
      </c>
      <c r="U22" s="742">
        <v>0</v>
      </c>
      <c r="V22" s="567"/>
      <c r="W22" s="567"/>
      <c r="X22" s="567"/>
      <c r="Y22" s="567"/>
      <c r="Z22" s="567"/>
      <c r="AA22" s="567"/>
      <c r="AB22" s="567"/>
      <c r="AC22" s="567"/>
    </row>
    <row r="23" spans="1:29" s="568" customFormat="1" ht="15.75" customHeight="1" thickBot="1">
      <c r="A23" s="759" t="s">
        <v>101</v>
      </c>
      <c r="B23" s="1005" t="s">
        <v>757</v>
      </c>
      <c r="C23" s="957">
        <f t="shared" si="2"/>
        <v>0</v>
      </c>
      <c r="D23" s="958">
        <v>0</v>
      </c>
      <c r="E23" s="958">
        <v>0</v>
      </c>
      <c r="F23" s="959">
        <f t="shared" si="3"/>
        <v>0</v>
      </c>
      <c r="G23" s="960">
        <v>0</v>
      </c>
      <c r="H23" s="960">
        <v>0</v>
      </c>
      <c r="I23" s="959">
        <f t="shared" si="4"/>
        <v>0</v>
      </c>
      <c r="J23" s="747">
        <v>0</v>
      </c>
      <c r="K23" s="747">
        <v>0</v>
      </c>
      <c r="L23" s="959">
        <f t="shared" si="5"/>
        <v>0</v>
      </c>
      <c r="M23" s="747">
        <v>0</v>
      </c>
      <c r="N23" s="747">
        <v>0</v>
      </c>
      <c r="O23" s="747">
        <v>0</v>
      </c>
      <c r="P23" s="961">
        <f t="shared" si="6"/>
        <v>0</v>
      </c>
      <c r="Q23" s="747">
        <v>0</v>
      </c>
      <c r="R23" s="747">
        <v>0</v>
      </c>
      <c r="S23" s="747">
        <v>0</v>
      </c>
      <c r="T23" s="747">
        <v>0</v>
      </c>
      <c r="U23" s="747">
        <v>0</v>
      </c>
      <c r="V23" s="567"/>
      <c r="W23" s="567"/>
      <c r="X23" s="567"/>
      <c r="Y23" s="567"/>
      <c r="Z23" s="567"/>
      <c r="AA23" s="567"/>
      <c r="AB23" s="567"/>
      <c r="AC23" s="567"/>
    </row>
    <row r="24" spans="1:21" ht="22.5" customHeight="1" thickTop="1">
      <c r="A24" s="570"/>
      <c r="B24" s="1720"/>
      <c r="C24" s="1720"/>
      <c r="D24" s="1720"/>
      <c r="E24" s="1720"/>
      <c r="F24" s="1720"/>
      <c r="G24" s="1720"/>
      <c r="H24" s="945"/>
      <c r="I24" s="945"/>
      <c r="J24" s="945"/>
      <c r="K24" s="945"/>
      <c r="L24" s="945"/>
      <c r="M24" s="676"/>
      <c r="N24" s="1721" t="str">
        <f>'Thong tin'!B9</f>
        <v>Bình Thuận, ngày 04 tháng 10 năm 2016</v>
      </c>
      <c r="O24" s="1721"/>
      <c r="P24" s="1721"/>
      <c r="Q24" s="1721"/>
      <c r="R24" s="1721"/>
      <c r="S24" s="1721"/>
      <c r="T24" s="1721"/>
      <c r="U24" s="1721"/>
    </row>
    <row r="25" spans="1:21" ht="17.25" customHeight="1">
      <c r="A25" s="570"/>
      <c r="B25" s="1722" t="s">
        <v>4</v>
      </c>
      <c r="C25" s="1722"/>
      <c r="D25" s="1722"/>
      <c r="E25" s="1722"/>
      <c r="F25" s="1722"/>
      <c r="G25" s="1722"/>
      <c r="H25" s="947"/>
      <c r="I25" s="947"/>
      <c r="J25" s="947"/>
      <c r="K25" s="947"/>
      <c r="L25" s="947"/>
      <c r="M25" s="676"/>
      <c r="N25" s="1723" t="str">
        <f>'Thong tin'!B7</f>
        <v>KT. CỤC TRƯỞNG</v>
      </c>
      <c r="O25" s="1723"/>
      <c r="P25" s="1723"/>
      <c r="Q25" s="1723"/>
      <c r="R25" s="1723"/>
      <c r="S25" s="1723"/>
      <c r="T25" s="1723"/>
      <c r="U25" s="1723"/>
    </row>
    <row r="26" spans="1:21" ht="18" customHeight="1">
      <c r="A26" s="572"/>
      <c r="B26" s="1726"/>
      <c r="C26" s="1726"/>
      <c r="D26" s="1726"/>
      <c r="E26" s="1726"/>
      <c r="F26" s="1726"/>
      <c r="G26" s="950"/>
      <c r="H26" s="950"/>
      <c r="I26" s="950"/>
      <c r="J26" s="950"/>
      <c r="K26" s="950"/>
      <c r="L26" s="950"/>
      <c r="M26" s="950"/>
      <c r="N26" s="1723" t="str">
        <f>'Thong tin'!B8</f>
        <v>PHÓ CỤC TRƯỞNG</v>
      </c>
      <c r="O26" s="1723"/>
      <c r="P26" s="1723"/>
      <c r="Q26" s="1723"/>
      <c r="R26" s="1723"/>
      <c r="S26" s="1723"/>
      <c r="T26" s="1723"/>
      <c r="U26" s="1723"/>
    </row>
    <row r="27" spans="2:21" ht="23.25" customHeight="1">
      <c r="B27" s="1727"/>
      <c r="C27" s="1727"/>
      <c r="D27" s="1727"/>
      <c r="E27" s="1727"/>
      <c r="F27" s="1727"/>
      <c r="G27" s="676"/>
      <c r="H27" s="676"/>
      <c r="I27" s="676"/>
      <c r="J27" s="676"/>
      <c r="K27" s="676"/>
      <c r="L27" s="676"/>
      <c r="M27" s="676"/>
      <c r="N27" s="676"/>
      <c r="O27" s="676"/>
      <c r="P27" s="1727"/>
      <c r="Q27" s="1727"/>
      <c r="R27" s="1727"/>
      <c r="S27" s="1727"/>
      <c r="T27" s="1727"/>
      <c r="U27" s="676"/>
    </row>
    <row r="28" spans="2:21" ht="3" customHeight="1">
      <c r="B28" s="676"/>
      <c r="C28" s="676"/>
      <c r="D28" s="676"/>
      <c r="E28" s="676"/>
      <c r="F28" s="676"/>
      <c r="G28" s="676"/>
      <c r="H28" s="676"/>
      <c r="I28" s="676"/>
      <c r="J28" s="676"/>
      <c r="K28" s="676"/>
      <c r="L28" s="676"/>
      <c r="M28" s="676"/>
      <c r="N28" s="676"/>
      <c r="O28" s="676"/>
      <c r="P28" s="676"/>
      <c r="Q28" s="1728"/>
      <c r="R28" s="1728"/>
      <c r="S28" s="676"/>
      <c r="T28" s="676"/>
      <c r="U28" s="676"/>
    </row>
    <row r="29" spans="2:21" ht="10.5" customHeight="1">
      <c r="B29" s="676"/>
      <c r="C29" s="676"/>
      <c r="D29" s="676"/>
      <c r="E29" s="676"/>
      <c r="F29" s="676"/>
      <c r="G29" s="676"/>
      <c r="H29" s="676"/>
      <c r="I29" s="676"/>
      <c r="J29" s="676"/>
      <c r="K29" s="676"/>
      <c r="L29" s="676"/>
      <c r="M29" s="676"/>
      <c r="N29" s="676"/>
      <c r="O29" s="676"/>
      <c r="P29" s="676"/>
      <c r="Q29" s="676"/>
      <c r="R29" s="676"/>
      <c r="S29" s="676"/>
      <c r="T29" s="676"/>
      <c r="U29" s="676"/>
    </row>
    <row r="30" spans="2:21" ht="16.5">
      <c r="B30" s="676"/>
      <c r="C30" s="676"/>
      <c r="D30" s="676"/>
      <c r="E30" s="676"/>
      <c r="F30" s="676"/>
      <c r="G30" s="676"/>
      <c r="H30" s="676"/>
      <c r="I30" s="676"/>
      <c r="J30" s="676" t="s">
        <v>598</v>
      </c>
      <c r="K30" s="676"/>
      <c r="L30" s="676"/>
      <c r="M30" s="676"/>
      <c r="N30" s="676"/>
      <c r="O30" s="676"/>
      <c r="P30" s="676"/>
      <c r="Q30" s="676"/>
      <c r="R30" s="676"/>
      <c r="S30" s="676"/>
      <c r="T30" s="676"/>
      <c r="U30" s="676"/>
    </row>
    <row r="31" spans="2:21" ht="16.5">
      <c r="B31" s="1651" t="str">
        <f>'Thong tin'!B5</f>
        <v>Trần Quốc Bảo</v>
      </c>
      <c r="C31" s="1651"/>
      <c r="D31" s="1651"/>
      <c r="E31" s="1651"/>
      <c r="F31" s="1651"/>
      <c r="G31" s="1651"/>
      <c r="H31" s="675"/>
      <c r="I31" s="676"/>
      <c r="J31" s="676"/>
      <c r="K31" s="676"/>
      <c r="L31" s="676"/>
      <c r="M31" s="676"/>
      <c r="N31" s="1651" t="str">
        <f>'Thong tin'!B6</f>
        <v>Trần Nam</v>
      </c>
      <c r="O31" s="1651"/>
      <c r="P31" s="1651"/>
      <c r="Q31" s="1651"/>
      <c r="R31" s="1651"/>
      <c r="S31" s="1651"/>
      <c r="T31" s="1651"/>
      <c r="U31" s="1651"/>
    </row>
    <row r="33" spans="15:20" ht="12.75">
      <c r="O33" s="1724"/>
      <c r="P33" s="1724"/>
      <c r="Q33" s="1724"/>
      <c r="R33" s="1724"/>
      <c r="S33" s="1724"/>
      <c r="T33" s="1724"/>
    </row>
    <row r="35" ht="12.75" hidden="1"/>
    <row r="36" spans="1:14" ht="12.75" customHeight="1" hidden="1">
      <c r="A36" s="574" t="s">
        <v>226</v>
      </c>
      <c r="B36" s="575"/>
      <c r="C36" s="575"/>
      <c r="D36" s="575"/>
      <c r="E36" s="575"/>
      <c r="F36" s="575"/>
      <c r="G36" s="575"/>
      <c r="H36" s="575"/>
      <c r="I36" s="575"/>
      <c r="J36" s="575"/>
      <c r="K36" s="575"/>
      <c r="L36" s="575"/>
      <c r="M36" s="575"/>
      <c r="N36" s="575"/>
    </row>
    <row r="37" spans="1:14" s="576" customFormat="1" ht="15.75" customHeight="1" hidden="1">
      <c r="A37" s="1725" t="s">
        <v>609</v>
      </c>
      <c r="B37" s="1725"/>
      <c r="C37" s="1725"/>
      <c r="D37" s="1725"/>
      <c r="E37" s="1725"/>
      <c r="F37" s="1725"/>
      <c r="G37" s="1725"/>
      <c r="H37" s="1725"/>
      <c r="I37" s="1725"/>
      <c r="J37" s="1725"/>
      <c r="K37" s="1725"/>
      <c r="L37" s="575"/>
      <c r="M37" s="575"/>
      <c r="N37" s="575"/>
    </row>
    <row r="38" spans="1:14" s="579" customFormat="1" ht="15" hidden="1">
      <c r="A38" s="577" t="s">
        <v>610</v>
      </c>
      <c r="B38" s="578"/>
      <c r="C38" s="578"/>
      <c r="D38" s="578"/>
      <c r="E38" s="578"/>
      <c r="F38" s="578"/>
      <c r="G38" s="578"/>
      <c r="H38" s="578"/>
      <c r="I38" s="578"/>
      <c r="J38" s="578"/>
      <c r="K38" s="578"/>
      <c r="L38" s="578"/>
      <c r="M38" s="578"/>
      <c r="N38" s="578"/>
    </row>
    <row r="39" spans="1:14" s="576" customFormat="1" ht="15" hidden="1">
      <c r="A39" s="577" t="s">
        <v>611</v>
      </c>
      <c r="B39" s="578"/>
      <c r="C39" s="578"/>
      <c r="D39" s="578"/>
      <c r="E39" s="578"/>
      <c r="F39" s="578"/>
      <c r="G39" s="578"/>
      <c r="H39" s="578"/>
      <c r="I39" s="578"/>
      <c r="J39" s="578"/>
      <c r="K39" s="578"/>
      <c r="L39" s="580"/>
      <c r="M39" s="580"/>
      <c r="N39" s="580"/>
    </row>
    <row r="40" spans="1:14" s="576" customFormat="1" ht="15" hidden="1">
      <c r="A40" s="580"/>
      <c r="B40" s="580"/>
      <c r="C40" s="580"/>
      <c r="D40" s="580"/>
      <c r="E40" s="580"/>
      <c r="F40" s="580"/>
      <c r="G40" s="580"/>
      <c r="H40" s="580"/>
      <c r="I40" s="580"/>
      <c r="J40" s="580"/>
      <c r="K40" s="580"/>
      <c r="L40" s="580"/>
      <c r="M40" s="580"/>
      <c r="N40" s="580"/>
    </row>
    <row r="41" spans="1:14" ht="12.75" hidden="1">
      <c r="A41" s="572"/>
      <c r="B41" s="572"/>
      <c r="C41" s="572"/>
      <c r="D41" s="572"/>
      <c r="E41" s="572"/>
      <c r="F41" s="572"/>
      <c r="G41" s="572"/>
      <c r="H41" s="572"/>
      <c r="I41" s="572"/>
      <c r="J41" s="572"/>
      <c r="K41" s="572"/>
      <c r="L41" s="572"/>
      <c r="M41" s="572"/>
      <c r="N41" s="572"/>
    </row>
    <row r="42" ht="15.75" hidden="1">
      <c r="H42" s="512"/>
    </row>
    <row r="43" ht="12.75" hidden="1"/>
    <row r="44" ht="12.75" hidden="1"/>
    <row r="45" ht="12.75" hidden="1"/>
    <row r="46" ht="12.75" hidden="1"/>
    <row r="47" ht="12.75" hidden="1">
      <c r="D47" s="581"/>
    </row>
    <row r="48" ht="12.75" hidden="1">
      <c r="C48" s="581"/>
    </row>
    <row r="49" ht="12.75" hidden="1"/>
    <row r="50" ht="12.75" hidden="1"/>
    <row r="51" ht="12.75" hidden="1">
      <c r="L51" s="581" t="e">
        <f>J51/K51</f>
        <v>#DIV/0!</v>
      </c>
    </row>
    <row r="52" ht="12.75" hidden="1"/>
    <row r="53" ht="12.75" hidden="1"/>
    <row r="54" ht="12.75" hidden="1"/>
    <row r="55" ht="12.75" hidden="1"/>
    <row r="56" ht="12.75" hidden="1"/>
    <row r="57" ht="12.75" hidden="1"/>
    <row r="58" ht="12.75" hidden="1"/>
    <row r="59" ht="12.75" hidden="1"/>
    <row r="60" ht="12.75" hidden="1"/>
  </sheetData>
  <sheetProtection/>
  <mergeCells count="41">
    <mergeCell ref="O33:T33"/>
    <mergeCell ref="A37:K37"/>
    <mergeCell ref="B26:F26"/>
    <mergeCell ref="N26:U26"/>
    <mergeCell ref="B27:F27"/>
    <mergeCell ref="P27:T27"/>
    <mergeCell ref="Q28:R28"/>
    <mergeCell ref="B31:G31"/>
    <mergeCell ref="N31:U31"/>
    <mergeCell ref="A11:B11"/>
    <mergeCell ref="B24:G24"/>
    <mergeCell ref="N24:U24"/>
    <mergeCell ref="B25:G25"/>
    <mergeCell ref="N25:U25"/>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35"/>
  <sheetViews>
    <sheetView view="pageBreakPreview" zoomScaleSheetLayoutView="100" zoomScalePageLayoutView="0" workbookViewId="0" topLeftCell="A4">
      <selection activeCell="K20" sqref="K20"/>
    </sheetView>
  </sheetViews>
  <sheetFormatPr defaultColWidth="9.00390625" defaultRowHeight="15.75"/>
  <cols>
    <col min="1" max="1" width="3.50390625" style="585" customWidth="1"/>
    <col min="2" max="2" width="21.50390625" style="585" customWidth="1"/>
    <col min="3" max="3" width="5.75390625" style="585" customWidth="1"/>
    <col min="4" max="4" width="6.625" style="585" customWidth="1"/>
    <col min="5" max="5" width="6.25390625" style="585" customWidth="1"/>
    <col min="6" max="9" width="5.75390625" style="585" customWidth="1"/>
    <col min="10" max="10" width="6.875" style="585" customWidth="1"/>
    <col min="11" max="11" width="7.50390625" style="585" customWidth="1"/>
    <col min="12" max="12" width="5.75390625" style="585" customWidth="1"/>
    <col min="13" max="13" width="8.375" style="585" customWidth="1"/>
    <col min="14" max="14" width="8.125" style="585" customWidth="1"/>
    <col min="15" max="15" width="8.00390625" style="585" customWidth="1"/>
    <col min="16" max="16" width="6.25390625" style="585" customWidth="1"/>
    <col min="17" max="21" width="5.75390625" style="585" customWidth="1"/>
    <col min="22" max="16384" width="9.00390625" style="585" customWidth="1"/>
  </cols>
  <sheetData>
    <row r="1" spans="1:21" ht="19.5" customHeight="1">
      <c r="A1" s="695" t="s">
        <v>675</v>
      </c>
      <c r="B1" s="490"/>
      <c r="C1" s="490"/>
      <c r="D1" s="487"/>
      <c r="E1" s="582"/>
      <c r="F1" s="1729" t="s">
        <v>612</v>
      </c>
      <c r="G1" s="1729"/>
      <c r="H1" s="1729"/>
      <c r="I1" s="1729"/>
      <c r="J1" s="1729"/>
      <c r="K1" s="1729"/>
      <c r="L1" s="1729"/>
      <c r="M1" s="1729"/>
      <c r="N1" s="1729"/>
      <c r="O1" s="583"/>
      <c r="P1" s="1730" t="s">
        <v>666</v>
      </c>
      <c r="Q1" s="1731"/>
      <c r="R1" s="1731"/>
      <c r="S1" s="1731"/>
      <c r="T1" s="1731"/>
      <c r="U1" s="1731"/>
    </row>
    <row r="2" spans="1:21" ht="15.75" customHeight="1">
      <c r="A2" s="1613" t="s">
        <v>342</v>
      </c>
      <c r="B2" s="1613"/>
      <c r="C2" s="1613"/>
      <c r="D2" s="1613"/>
      <c r="E2" s="694"/>
      <c r="F2" s="1729"/>
      <c r="G2" s="1729"/>
      <c r="H2" s="1729"/>
      <c r="I2" s="1729"/>
      <c r="J2" s="1729"/>
      <c r="K2" s="1729"/>
      <c r="L2" s="1729"/>
      <c r="M2" s="1729"/>
      <c r="N2" s="1729"/>
      <c r="O2" s="583"/>
      <c r="P2" s="1732" t="str">
        <f>'Thong tin'!B4</f>
        <v>Cục THADS tỉnh Bình Thuận</v>
      </c>
      <c r="Q2" s="1732"/>
      <c r="R2" s="1732"/>
      <c r="S2" s="1732"/>
      <c r="T2" s="1732"/>
      <c r="U2" s="1732"/>
    </row>
    <row r="3" spans="1:20" ht="15.75" customHeight="1">
      <c r="A3" s="1619" t="s">
        <v>343</v>
      </c>
      <c r="B3" s="1619"/>
      <c r="C3" s="1619"/>
      <c r="D3" s="1619"/>
      <c r="E3" s="694"/>
      <c r="F3" s="1733" t="str">
        <f>'Thong tin'!B3</f>
        <v>12 tháng / năm 2016</v>
      </c>
      <c r="G3" s="1734"/>
      <c r="H3" s="1734"/>
      <c r="I3" s="1734"/>
      <c r="J3" s="1734"/>
      <c r="K3" s="1734"/>
      <c r="L3" s="1734"/>
      <c r="M3" s="1734"/>
      <c r="N3" s="1734"/>
      <c r="O3" s="588"/>
      <c r="P3" s="677" t="s">
        <v>665</v>
      </c>
      <c r="Q3" s="589"/>
      <c r="R3" s="589"/>
      <c r="S3" s="589"/>
      <c r="T3" s="589"/>
    </row>
    <row r="4" spans="1:20" ht="15" customHeight="1">
      <c r="A4" s="489" t="s">
        <v>217</v>
      </c>
      <c r="B4" s="455"/>
      <c r="C4" s="455"/>
      <c r="D4" s="455"/>
      <c r="E4" s="697"/>
      <c r="F4" s="697"/>
      <c r="G4" s="697"/>
      <c r="H4" s="697"/>
      <c r="I4" s="697"/>
      <c r="J4" s="697"/>
      <c r="K4" s="697"/>
      <c r="L4" s="697"/>
      <c r="M4" s="697"/>
      <c r="N4" s="697"/>
      <c r="O4" s="697"/>
      <c r="P4" s="590" t="s">
        <v>613</v>
      </c>
      <c r="Q4" s="586"/>
      <c r="R4" s="586"/>
      <c r="S4" s="586"/>
      <c r="T4" s="586"/>
    </row>
    <row r="5" spans="1:21" s="592" customFormat="1" ht="15.75" customHeight="1">
      <c r="A5" s="1735" t="s">
        <v>72</v>
      </c>
      <c r="B5" s="1736"/>
      <c r="C5" s="1739" t="s">
        <v>586</v>
      </c>
      <c r="D5" s="1739"/>
      <c r="E5" s="1739"/>
      <c r="F5" s="1739" t="s">
        <v>614</v>
      </c>
      <c r="G5" s="1739"/>
      <c r="H5" s="1739"/>
      <c r="I5" s="1739"/>
      <c r="J5" s="1739"/>
      <c r="K5" s="1739"/>
      <c r="L5" s="1739"/>
      <c r="M5" s="1739"/>
      <c r="N5" s="1739"/>
      <c r="O5" s="1739"/>
      <c r="P5" s="1739" t="s">
        <v>615</v>
      </c>
      <c r="Q5" s="1739"/>
      <c r="R5" s="1739"/>
      <c r="S5" s="1739"/>
      <c r="T5" s="1739"/>
      <c r="U5" s="1739"/>
    </row>
    <row r="6" spans="1:21" s="592" customFormat="1" ht="14.25" customHeight="1">
      <c r="A6" s="1737"/>
      <c r="B6" s="1738"/>
      <c r="C6" s="1739"/>
      <c r="D6" s="1739"/>
      <c r="E6" s="1739"/>
      <c r="F6" s="1739" t="s">
        <v>616</v>
      </c>
      <c r="G6" s="1739"/>
      <c r="H6" s="1739"/>
      <c r="I6" s="1739" t="s">
        <v>590</v>
      </c>
      <c r="J6" s="1739"/>
      <c r="K6" s="1739"/>
      <c r="L6" s="1739"/>
      <c r="M6" s="1739"/>
      <c r="N6" s="1739"/>
      <c r="O6" s="1739"/>
      <c r="P6" s="1739" t="s">
        <v>227</v>
      </c>
      <c r="Q6" s="1740" t="s">
        <v>7</v>
      </c>
      <c r="R6" s="1740"/>
      <c r="S6" s="1740"/>
      <c r="T6" s="1740"/>
      <c r="U6" s="1740"/>
    </row>
    <row r="7" spans="1:21" s="592" customFormat="1" ht="32.25" customHeight="1">
      <c r="A7" s="1737"/>
      <c r="B7" s="1738"/>
      <c r="C7" s="1739"/>
      <c r="D7" s="1739"/>
      <c r="E7" s="1739"/>
      <c r="F7" s="1739"/>
      <c r="G7" s="1739"/>
      <c r="H7" s="1739"/>
      <c r="I7" s="1739" t="s">
        <v>591</v>
      </c>
      <c r="J7" s="1739"/>
      <c r="K7" s="1739"/>
      <c r="L7" s="1739" t="s">
        <v>617</v>
      </c>
      <c r="M7" s="1739"/>
      <c r="N7" s="1739"/>
      <c r="O7" s="1739"/>
      <c r="P7" s="1739"/>
      <c r="Q7" s="1739" t="s">
        <v>593</v>
      </c>
      <c r="R7" s="1739" t="s">
        <v>618</v>
      </c>
      <c r="S7" s="1739" t="s">
        <v>619</v>
      </c>
      <c r="T7" s="1739" t="s">
        <v>620</v>
      </c>
      <c r="U7" s="1739" t="s">
        <v>621</v>
      </c>
    </row>
    <row r="8" spans="1:21" s="592" customFormat="1" ht="15" customHeight="1">
      <c r="A8" s="1737"/>
      <c r="B8" s="1738"/>
      <c r="C8" s="1739" t="s">
        <v>622</v>
      </c>
      <c r="D8" s="1739" t="s">
        <v>7</v>
      </c>
      <c r="E8" s="1739"/>
      <c r="F8" s="1739" t="s">
        <v>623</v>
      </c>
      <c r="G8" s="1739" t="s">
        <v>7</v>
      </c>
      <c r="H8" s="1739"/>
      <c r="I8" s="1739" t="s">
        <v>624</v>
      </c>
      <c r="J8" s="1739" t="s">
        <v>7</v>
      </c>
      <c r="K8" s="1739"/>
      <c r="L8" s="1739" t="s">
        <v>623</v>
      </c>
      <c r="M8" s="1739" t="s">
        <v>7</v>
      </c>
      <c r="N8" s="1739"/>
      <c r="O8" s="1739"/>
      <c r="P8" s="1739"/>
      <c r="Q8" s="1739"/>
      <c r="R8" s="1741"/>
      <c r="S8" s="1742"/>
      <c r="T8" s="1739"/>
      <c r="U8" s="1739"/>
    </row>
    <row r="9" spans="1:21" s="592" customFormat="1" ht="79.5" customHeight="1">
      <c r="A9" s="1737"/>
      <c r="B9" s="1738"/>
      <c r="C9" s="1739"/>
      <c r="D9" s="591" t="s">
        <v>625</v>
      </c>
      <c r="E9" s="591" t="s">
        <v>626</v>
      </c>
      <c r="F9" s="1741"/>
      <c r="G9" s="591" t="s">
        <v>627</v>
      </c>
      <c r="H9" s="591" t="s">
        <v>628</v>
      </c>
      <c r="I9" s="1741"/>
      <c r="J9" s="591" t="s">
        <v>629</v>
      </c>
      <c r="K9" s="591" t="s">
        <v>630</v>
      </c>
      <c r="L9" s="1739"/>
      <c r="M9" s="591" t="s">
        <v>631</v>
      </c>
      <c r="N9" s="591" t="s">
        <v>632</v>
      </c>
      <c r="O9" s="591" t="s">
        <v>633</v>
      </c>
      <c r="P9" s="1739"/>
      <c r="Q9" s="1739"/>
      <c r="R9" s="1741"/>
      <c r="S9" s="1742"/>
      <c r="T9" s="1739"/>
      <c r="U9" s="1739"/>
    </row>
    <row r="10" spans="1:21" ht="12.75">
      <c r="A10" s="593"/>
      <c r="B10" s="594" t="s">
        <v>608</v>
      </c>
      <c r="C10" s="595">
        <v>1</v>
      </c>
      <c r="D10" s="595">
        <v>2</v>
      </c>
      <c r="E10" s="595">
        <v>3</v>
      </c>
      <c r="F10" s="596">
        <v>4</v>
      </c>
      <c r="G10" s="597">
        <v>5</v>
      </c>
      <c r="H10" s="596">
        <v>6</v>
      </c>
      <c r="I10" s="597">
        <v>7</v>
      </c>
      <c r="J10" s="596">
        <v>8</v>
      </c>
      <c r="K10" s="597">
        <v>9</v>
      </c>
      <c r="L10" s="596">
        <v>10</v>
      </c>
      <c r="M10" s="597">
        <v>11</v>
      </c>
      <c r="N10" s="596">
        <v>12</v>
      </c>
      <c r="O10" s="597">
        <v>13</v>
      </c>
      <c r="P10" s="596">
        <v>14</v>
      </c>
      <c r="Q10" s="597">
        <v>15</v>
      </c>
      <c r="R10" s="596">
        <v>16</v>
      </c>
      <c r="S10" s="597">
        <v>17</v>
      </c>
      <c r="T10" s="596">
        <v>18</v>
      </c>
      <c r="U10" s="597">
        <v>19</v>
      </c>
    </row>
    <row r="11" spans="1:21" s="592" customFormat="1" ht="18" customHeight="1">
      <c r="A11" s="1743" t="s">
        <v>38</v>
      </c>
      <c r="B11" s="1744"/>
      <c r="C11" s="760">
        <f>C12+C13</f>
        <v>7</v>
      </c>
      <c r="D11" s="760">
        <f aca="true" t="shared" si="0" ref="D11:U11">D12+D13</f>
        <v>1</v>
      </c>
      <c r="E11" s="760">
        <f t="shared" si="0"/>
        <v>6</v>
      </c>
      <c r="F11" s="760">
        <f t="shared" si="0"/>
        <v>7</v>
      </c>
      <c r="G11" s="760">
        <f t="shared" si="0"/>
        <v>1</v>
      </c>
      <c r="H11" s="760">
        <f t="shared" si="0"/>
        <v>6</v>
      </c>
      <c r="I11" s="760">
        <f t="shared" si="0"/>
        <v>7</v>
      </c>
      <c r="J11" s="760">
        <f t="shared" si="0"/>
        <v>6</v>
      </c>
      <c r="K11" s="760">
        <f t="shared" si="0"/>
        <v>1</v>
      </c>
      <c r="L11" s="760">
        <f t="shared" si="0"/>
        <v>0</v>
      </c>
      <c r="M11" s="760">
        <f t="shared" si="0"/>
        <v>0</v>
      </c>
      <c r="N11" s="760">
        <f t="shared" si="0"/>
        <v>0</v>
      </c>
      <c r="O11" s="760">
        <f t="shared" si="0"/>
        <v>0</v>
      </c>
      <c r="P11" s="760">
        <f t="shared" si="0"/>
        <v>7</v>
      </c>
      <c r="Q11" s="760">
        <f t="shared" si="0"/>
        <v>3</v>
      </c>
      <c r="R11" s="760">
        <f t="shared" si="0"/>
        <v>1</v>
      </c>
      <c r="S11" s="760">
        <f t="shared" si="0"/>
        <v>0</v>
      </c>
      <c r="T11" s="760">
        <f t="shared" si="0"/>
        <v>2</v>
      </c>
      <c r="U11" s="760">
        <f t="shared" si="0"/>
        <v>1</v>
      </c>
    </row>
    <row r="12" spans="1:21" s="592" customFormat="1" ht="19.5" customHeight="1">
      <c r="A12" s="734" t="s">
        <v>0</v>
      </c>
      <c r="B12" s="207" t="s">
        <v>228</v>
      </c>
      <c r="C12" s="744">
        <f>D12+E12</f>
        <v>4</v>
      </c>
      <c r="D12" s="962">
        <v>1</v>
      </c>
      <c r="E12" s="962">
        <v>3</v>
      </c>
      <c r="F12" s="744">
        <f>G12+H12</f>
        <v>4</v>
      </c>
      <c r="G12" s="963">
        <v>1</v>
      </c>
      <c r="H12" s="963">
        <v>3</v>
      </c>
      <c r="I12" s="964">
        <f>J12+K12+L12</f>
        <v>4</v>
      </c>
      <c r="J12" s="965">
        <v>3</v>
      </c>
      <c r="K12" s="965">
        <v>1</v>
      </c>
      <c r="L12" s="744">
        <f>M12+N12+O12</f>
        <v>0</v>
      </c>
      <c r="M12" s="965">
        <v>0</v>
      </c>
      <c r="N12" s="965">
        <v>0</v>
      </c>
      <c r="O12" s="965">
        <v>0</v>
      </c>
      <c r="P12" s="744">
        <f>Q12+R12+S12+T12+U12</f>
        <v>4</v>
      </c>
      <c r="Q12" s="965">
        <v>3</v>
      </c>
      <c r="R12" s="965">
        <v>1</v>
      </c>
      <c r="S12" s="965">
        <v>0</v>
      </c>
      <c r="T12" s="965">
        <v>0</v>
      </c>
      <c r="U12" s="965">
        <v>0</v>
      </c>
    </row>
    <row r="13" spans="1:21" s="592" customFormat="1" ht="21" customHeight="1">
      <c r="A13" s="737" t="s">
        <v>1</v>
      </c>
      <c r="B13" s="743" t="s">
        <v>19</v>
      </c>
      <c r="C13" s="744">
        <f>C14+C15+C16+C17+C18+C19+C20+C21+C22+C23</f>
        <v>3</v>
      </c>
      <c r="D13" s="744">
        <f aca="true" t="shared" si="1" ref="D13:U13">D14+D15+D16+D17+D18+D19+D20+D21+D22+D23</f>
        <v>0</v>
      </c>
      <c r="E13" s="744">
        <f t="shared" si="1"/>
        <v>3</v>
      </c>
      <c r="F13" s="744">
        <f t="shared" si="1"/>
        <v>3</v>
      </c>
      <c r="G13" s="744">
        <f t="shared" si="1"/>
        <v>0</v>
      </c>
      <c r="H13" s="744">
        <f t="shared" si="1"/>
        <v>3</v>
      </c>
      <c r="I13" s="744">
        <f t="shared" si="1"/>
        <v>3</v>
      </c>
      <c r="J13" s="744">
        <f t="shared" si="1"/>
        <v>3</v>
      </c>
      <c r="K13" s="744">
        <f t="shared" si="1"/>
        <v>0</v>
      </c>
      <c r="L13" s="744">
        <f t="shared" si="1"/>
        <v>0</v>
      </c>
      <c r="M13" s="744">
        <f t="shared" si="1"/>
        <v>0</v>
      </c>
      <c r="N13" s="744">
        <f t="shared" si="1"/>
        <v>0</v>
      </c>
      <c r="O13" s="744">
        <f t="shared" si="1"/>
        <v>0</v>
      </c>
      <c r="P13" s="744">
        <f t="shared" si="1"/>
        <v>3</v>
      </c>
      <c r="Q13" s="744">
        <f t="shared" si="1"/>
        <v>0</v>
      </c>
      <c r="R13" s="744">
        <f t="shared" si="1"/>
        <v>0</v>
      </c>
      <c r="S13" s="744">
        <f t="shared" si="1"/>
        <v>0</v>
      </c>
      <c r="T13" s="744">
        <f t="shared" si="1"/>
        <v>2</v>
      </c>
      <c r="U13" s="744">
        <f t="shared" si="1"/>
        <v>1</v>
      </c>
    </row>
    <row r="14" spans="1:21" s="592" customFormat="1" ht="18" customHeight="1">
      <c r="A14" s="758" t="s">
        <v>52</v>
      </c>
      <c r="B14" s="745" t="s">
        <v>748</v>
      </c>
      <c r="C14" s="955">
        <f>D14+E14</f>
        <v>1</v>
      </c>
      <c r="D14" s="962">
        <v>0</v>
      </c>
      <c r="E14" s="962">
        <v>1</v>
      </c>
      <c r="F14" s="955">
        <f>G14+H14</f>
        <v>1</v>
      </c>
      <c r="G14" s="963">
        <v>0</v>
      </c>
      <c r="H14" s="963">
        <v>1</v>
      </c>
      <c r="I14" s="966">
        <f>J14+K14</f>
        <v>1</v>
      </c>
      <c r="J14" s="965">
        <v>1</v>
      </c>
      <c r="K14" s="965">
        <v>0</v>
      </c>
      <c r="L14" s="955">
        <f>M14+N14+O14</f>
        <v>0</v>
      </c>
      <c r="M14" s="965">
        <v>0</v>
      </c>
      <c r="N14" s="965">
        <v>0</v>
      </c>
      <c r="O14" s="965">
        <v>0</v>
      </c>
      <c r="P14" s="955">
        <f>Q14+R14++S14+T14+U14</f>
        <v>1</v>
      </c>
      <c r="Q14" s="965">
        <v>0</v>
      </c>
      <c r="R14" s="965">
        <v>0</v>
      </c>
      <c r="S14" s="965">
        <v>0</v>
      </c>
      <c r="T14" s="965">
        <v>0</v>
      </c>
      <c r="U14" s="967">
        <v>1</v>
      </c>
    </row>
    <row r="15" spans="1:21" s="592" customFormat="1" ht="18.75" customHeight="1">
      <c r="A15" s="758" t="s">
        <v>53</v>
      </c>
      <c r="B15" s="745" t="s">
        <v>749</v>
      </c>
      <c r="C15" s="955">
        <f aca="true" t="shared" si="2" ref="C15:C23">D15+E15</f>
        <v>0</v>
      </c>
      <c r="D15" s="962">
        <v>0</v>
      </c>
      <c r="E15" s="962">
        <v>0</v>
      </c>
      <c r="F15" s="955">
        <f aca="true" t="shared" si="3" ref="F15:F23">G15+H15</f>
        <v>0</v>
      </c>
      <c r="G15" s="963">
        <v>0</v>
      </c>
      <c r="H15" s="963">
        <v>0</v>
      </c>
      <c r="I15" s="966">
        <f aca="true" t="shared" si="4" ref="I15:I23">J15+K15</f>
        <v>0</v>
      </c>
      <c r="J15" s="965">
        <v>0</v>
      </c>
      <c r="K15" s="965">
        <v>0</v>
      </c>
      <c r="L15" s="955">
        <f aca="true" t="shared" si="5" ref="L15:L23">M15+N15+O15</f>
        <v>0</v>
      </c>
      <c r="M15" s="965">
        <v>0</v>
      </c>
      <c r="N15" s="965">
        <v>0</v>
      </c>
      <c r="O15" s="965">
        <v>0</v>
      </c>
      <c r="P15" s="955">
        <f aca="true" t="shared" si="6" ref="P15:P23">Q15+R15++S15+T15+U15</f>
        <v>0</v>
      </c>
      <c r="Q15" s="965">
        <v>0</v>
      </c>
      <c r="R15" s="965">
        <v>0</v>
      </c>
      <c r="S15" s="965">
        <v>0</v>
      </c>
      <c r="T15" s="965">
        <v>0</v>
      </c>
      <c r="U15" s="967">
        <v>0</v>
      </c>
    </row>
    <row r="16" spans="1:21" s="592" customFormat="1" ht="18.75" customHeight="1">
      <c r="A16" s="758" t="s">
        <v>58</v>
      </c>
      <c r="B16" s="745" t="s">
        <v>750</v>
      </c>
      <c r="C16" s="955">
        <f t="shared" si="2"/>
        <v>0</v>
      </c>
      <c r="D16" s="962">
        <v>0</v>
      </c>
      <c r="E16" s="962">
        <v>0</v>
      </c>
      <c r="F16" s="955">
        <f t="shared" si="3"/>
        <v>0</v>
      </c>
      <c r="G16" s="963">
        <v>0</v>
      </c>
      <c r="H16" s="963">
        <v>0</v>
      </c>
      <c r="I16" s="966">
        <f t="shared" si="4"/>
        <v>0</v>
      </c>
      <c r="J16" s="965">
        <v>0</v>
      </c>
      <c r="K16" s="965">
        <v>0</v>
      </c>
      <c r="L16" s="955">
        <f t="shared" si="5"/>
        <v>0</v>
      </c>
      <c r="M16" s="965">
        <v>0</v>
      </c>
      <c r="N16" s="965">
        <v>0</v>
      </c>
      <c r="O16" s="965">
        <v>0</v>
      </c>
      <c r="P16" s="955">
        <f t="shared" si="6"/>
        <v>0</v>
      </c>
      <c r="Q16" s="965">
        <v>0</v>
      </c>
      <c r="R16" s="965">
        <v>0</v>
      </c>
      <c r="S16" s="965">
        <v>0</v>
      </c>
      <c r="T16" s="965">
        <v>0</v>
      </c>
      <c r="U16" s="967">
        <v>0</v>
      </c>
    </row>
    <row r="17" spans="1:21" s="592" customFormat="1" ht="18" customHeight="1">
      <c r="A17" s="758" t="s">
        <v>73</v>
      </c>
      <c r="B17" s="745" t="s">
        <v>751</v>
      </c>
      <c r="C17" s="955">
        <f t="shared" si="2"/>
        <v>0</v>
      </c>
      <c r="D17" s="968">
        <v>0</v>
      </c>
      <c r="E17" s="968">
        <v>0</v>
      </c>
      <c r="F17" s="955">
        <f t="shared" si="3"/>
        <v>0</v>
      </c>
      <c r="G17" s="963">
        <v>0</v>
      </c>
      <c r="H17" s="963">
        <v>0</v>
      </c>
      <c r="I17" s="966">
        <f t="shared" si="4"/>
        <v>0</v>
      </c>
      <c r="J17" s="965">
        <v>0</v>
      </c>
      <c r="K17" s="965">
        <v>0</v>
      </c>
      <c r="L17" s="955">
        <f t="shared" si="5"/>
        <v>0</v>
      </c>
      <c r="M17" s="965">
        <v>0</v>
      </c>
      <c r="N17" s="965">
        <v>0</v>
      </c>
      <c r="O17" s="965">
        <v>0</v>
      </c>
      <c r="P17" s="955">
        <f t="shared" si="6"/>
        <v>0</v>
      </c>
      <c r="Q17" s="965">
        <v>0</v>
      </c>
      <c r="R17" s="965">
        <v>0</v>
      </c>
      <c r="S17" s="965">
        <v>0</v>
      </c>
      <c r="T17" s="965">
        <v>0</v>
      </c>
      <c r="U17" s="967">
        <v>0</v>
      </c>
    </row>
    <row r="18" spans="1:21" s="592" customFormat="1" ht="18" customHeight="1">
      <c r="A18" s="758" t="s">
        <v>74</v>
      </c>
      <c r="B18" s="745" t="s">
        <v>752</v>
      </c>
      <c r="C18" s="955">
        <f t="shared" si="2"/>
        <v>0</v>
      </c>
      <c r="D18" s="968">
        <v>0</v>
      </c>
      <c r="E18" s="968">
        <v>0</v>
      </c>
      <c r="F18" s="955">
        <f t="shared" si="3"/>
        <v>0</v>
      </c>
      <c r="G18" s="963">
        <v>0</v>
      </c>
      <c r="H18" s="963">
        <v>0</v>
      </c>
      <c r="I18" s="966">
        <f t="shared" si="4"/>
        <v>0</v>
      </c>
      <c r="J18" s="965">
        <v>0</v>
      </c>
      <c r="K18" s="965">
        <v>0</v>
      </c>
      <c r="L18" s="955">
        <f t="shared" si="5"/>
        <v>0</v>
      </c>
      <c r="M18" s="965">
        <v>0</v>
      </c>
      <c r="N18" s="965">
        <v>0</v>
      </c>
      <c r="O18" s="965">
        <v>0</v>
      </c>
      <c r="P18" s="955">
        <f t="shared" si="6"/>
        <v>0</v>
      </c>
      <c r="Q18" s="965">
        <v>0</v>
      </c>
      <c r="R18" s="965">
        <v>0</v>
      </c>
      <c r="S18" s="965">
        <v>0</v>
      </c>
      <c r="T18" s="965">
        <v>0</v>
      </c>
      <c r="U18" s="967">
        <v>0</v>
      </c>
    </row>
    <row r="19" spans="1:21" s="592" customFormat="1" ht="18" customHeight="1">
      <c r="A19" s="758" t="s">
        <v>75</v>
      </c>
      <c r="B19" s="745" t="s">
        <v>753</v>
      </c>
      <c r="C19" s="955">
        <f t="shared" si="2"/>
        <v>0</v>
      </c>
      <c r="D19" s="968">
        <v>0</v>
      </c>
      <c r="E19" s="968">
        <v>0</v>
      </c>
      <c r="F19" s="955">
        <f t="shared" si="3"/>
        <v>0</v>
      </c>
      <c r="G19" s="963">
        <v>0</v>
      </c>
      <c r="H19" s="963">
        <v>0</v>
      </c>
      <c r="I19" s="966">
        <f t="shared" si="4"/>
        <v>0</v>
      </c>
      <c r="J19" s="965">
        <v>0</v>
      </c>
      <c r="K19" s="965">
        <v>0</v>
      </c>
      <c r="L19" s="955">
        <f t="shared" si="5"/>
        <v>0</v>
      </c>
      <c r="M19" s="965">
        <v>0</v>
      </c>
      <c r="N19" s="965">
        <v>0</v>
      </c>
      <c r="O19" s="965">
        <v>0</v>
      </c>
      <c r="P19" s="955">
        <f t="shared" si="6"/>
        <v>0</v>
      </c>
      <c r="Q19" s="965">
        <v>0</v>
      </c>
      <c r="R19" s="965">
        <v>0</v>
      </c>
      <c r="S19" s="965">
        <v>0</v>
      </c>
      <c r="T19" s="965">
        <v>0</v>
      </c>
      <c r="U19" s="967">
        <v>0</v>
      </c>
    </row>
    <row r="20" spans="1:21" s="592" customFormat="1" ht="18" customHeight="1">
      <c r="A20" s="758" t="s">
        <v>76</v>
      </c>
      <c r="B20" s="745" t="s">
        <v>754</v>
      </c>
      <c r="C20" s="955">
        <f t="shared" si="2"/>
        <v>1</v>
      </c>
      <c r="D20" s="968">
        <v>0</v>
      </c>
      <c r="E20" s="968">
        <v>1</v>
      </c>
      <c r="F20" s="955">
        <f t="shared" si="3"/>
        <v>1</v>
      </c>
      <c r="G20" s="963">
        <v>0</v>
      </c>
      <c r="H20" s="963">
        <v>1</v>
      </c>
      <c r="I20" s="966">
        <f t="shared" si="4"/>
        <v>1</v>
      </c>
      <c r="J20" s="965">
        <v>1</v>
      </c>
      <c r="K20" s="965">
        <v>0</v>
      </c>
      <c r="L20" s="955">
        <f t="shared" si="5"/>
        <v>0</v>
      </c>
      <c r="M20" s="965">
        <v>0</v>
      </c>
      <c r="N20" s="965">
        <v>0</v>
      </c>
      <c r="O20" s="965">
        <v>0</v>
      </c>
      <c r="P20" s="955">
        <f t="shared" si="6"/>
        <v>1</v>
      </c>
      <c r="Q20" s="965">
        <v>0</v>
      </c>
      <c r="R20" s="965">
        <v>0</v>
      </c>
      <c r="S20" s="965">
        <v>0</v>
      </c>
      <c r="T20" s="965">
        <v>1</v>
      </c>
      <c r="U20" s="967">
        <v>0</v>
      </c>
    </row>
    <row r="21" spans="1:21" s="592" customFormat="1" ht="18.75" customHeight="1">
      <c r="A21" s="758" t="s">
        <v>77</v>
      </c>
      <c r="B21" s="745" t="s">
        <v>755</v>
      </c>
      <c r="C21" s="955">
        <f t="shared" si="2"/>
        <v>0</v>
      </c>
      <c r="D21" s="968">
        <v>0</v>
      </c>
      <c r="E21" s="968">
        <v>0</v>
      </c>
      <c r="F21" s="955">
        <f t="shared" si="3"/>
        <v>0</v>
      </c>
      <c r="G21" s="963">
        <v>0</v>
      </c>
      <c r="H21" s="963">
        <v>0</v>
      </c>
      <c r="I21" s="966">
        <f t="shared" si="4"/>
        <v>0</v>
      </c>
      <c r="J21" s="965">
        <v>0</v>
      </c>
      <c r="K21" s="965">
        <v>0</v>
      </c>
      <c r="L21" s="955">
        <f t="shared" si="5"/>
        <v>0</v>
      </c>
      <c r="M21" s="965">
        <v>0</v>
      </c>
      <c r="N21" s="965">
        <v>0</v>
      </c>
      <c r="O21" s="965">
        <v>0</v>
      </c>
      <c r="P21" s="955">
        <f t="shared" si="6"/>
        <v>0</v>
      </c>
      <c r="Q21" s="965">
        <v>0</v>
      </c>
      <c r="R21" s="965">
        <v>0</v>
      </c>
      <c r="S21" s="965">
        <v>0</v>
      </c>
      <c r="T21" s="965">
        <v>0</v>
      </c>
      <c r="U21" s="967">
        <v>0</v>
      </c>
    </row>
    <row r="22" spans="1:21" s="592" customFormat="1" ht="17.25" customHeight="1">
      <c r="A22" s="758" t="s">
        <v>78</v>
      </c>
      <c r="B22" s="745" t="s">
        <v>756</v>
      </c>
      <c r="C22" s="955">
        <f t="shared" si="2"/>
        <v>1</v>
      </c>
      <c r="D22" s="968">
        <v>0</v>
      </c>
      <c r="E22" s="968">
        <v>1</v>
      </c>
      <c r="F22" s="955">
        <f t="shared" si="3"/>
        <v>1</v>
      </c>
      <c r="G22" s="963">
        <v>0</v>
      </c>
      <c r="H22" s="963">
        <v>1</v>
      </c>
      <c r="I22" s="966">
        <f t="shared" si="4"/>
        <v>1</v>
      </c>
      <c r="J22" s="965">
        <v>1</v>
      </c>
      <c r="K22" s="965">
        <v>0</v>
      </c>
      <c r="L22" s="955">
        <f t="shared" si="5"/>
        <v>0</v>
      </c>
      <c r="M22" s="965">
        <v>0</v>
      </c>
      <c r="N22" s="965">
        <v>0</v>
      </c>
      <c r="O22" s="965">
        <v>0</v>
      </c>
      <c r="P22" s="955">
        <f t="shared" si="6"/>
        <v>1</v>
      </c>
      <c r="Q22" s="965">
        <v>0</v>
      </c>
      <c r="R22" s="965">
        <v>0</v>
      </c>
      <c r="S22" s="965">
        <v>0</v>
      </c>
      <c r="T22" s="965">
        <v>1</v>
      </c>
      <c r="U22" s="967">
        <v>0</v>
      </c>
    </row>
    <row r="23" spans="1:21" s="592" customFormat="1" ht="20.25" customHeight="1" thickBot="1">
      <c r="A23" s="759" t="s">
        <v>101</v>
      </c>
      <c r="B23" s="1005" t="s">
        <v>757</v>
      </c>
      <c r="C23" s="959">
        <f t="shared" si="2"/>
        <v>0</v>
      </c>
      <c r="D23" s="969">
        <v>0</v>
      </c>
      <c r="E23" s="969">
        <v>0</v>
      </c>
      <c r="F23" s="959">
        <f t="shared" si="3"/>
        <v>0</v>
      </c>
      <c r="G23" s="970">
        <v>0</v>
      </c>
      <c r="H23" s="970">
        <v>0</v>
      </c>
      <c r="I23" s="971">
        <f t="shared" si="4"/>
        <v>0</v>
      </c>
      <c r="J23" s="972">
        <v>0</v>
      </c>
      <c r="K23" s="972">
        <v>0</v>
      </c>
      <c r="L23" s="959">
        <f t="shared" si="5"/>
        <v>0</v>
      </c>
      <c r="M23" s="972">
        <v>0</v>
      </c>
      <c r="N23" s="972">
        <v>0</v>
      </c>
      <c r="O23" s="972">
        <v>0</v>
      </c>
      <c r="P23" s="959">
        <f t="shared" si="6"/>
        <v>0</v>
      </c>
      <c r="Q23" s="972">
        <v>0</v>
      </c>
      <c r="R23" s="972">
        <v>0</v>
      </c>
      <c r="S23" s="972">
        <v>0</v>
      </c>
      <c r="T23" s="972">
        <v>0</v>
      </c>
      <c r="U23" s="973">
        <v>0</v>
      </c>
    </row>
    <row r="24" spans="1:21" ht="26.25" customHeight="1" thickTop="1">
      <c r="A24" s="599"/>
      <c r="B24" s="1745"/>
      <c r="C24" s="1745"/>
      <c r="D24" s="1745"/>
      <c r="E24" s="1745"/>
      <c r="F24" s="1745"/>
      <c r="G24" s="1745"/>
      <c r="H24" s="974"/>
      <c r="I24" s="974"/>
      <c r="J24" s="974"/>
      <c r="K24" s="974"/>
      <c r="L24" s="974"/>
      <c r="M24" s="975"/>
      <c r="N24" s="1721" t="str">
        <f>'Thong tin'!B9</f>
        <v>Bình Thuận, ngày 04 tháng 10 năm 2016</v>
      </c>
      <c r="O24" s="1721"/>
      <c r="P24" s="1721"/>
      <c r="Q24" s="1721"/>
      <c r="R24" s="1721"/>
      <c r="S24" s="1721"/>
      <c r="T24" s="1721"/>
      <c r="U24" s="1721"/>
    </row>
    <row r="25" spans="1:21" ht="18.75" customHeight="1">
      <c r="A25" s="599"/>
      <c r="B25" s="1746" t="s">
        <v>634</v>
      </c>
      <c r="C25" s="1746"/>
      <c r="D25" s="1746"/>
      <c r="E25" s="1746"/>
      <c r="F25" s="1746"/>
      <c r="G25" s="976"/>
      <c r="H25" s="947"/>
      <c r="I25" s="947"/>
      <c r="J25" s="947"/>
      <c r="K25" s="947"/>
      <c r="L25" s="947"/>
      <c r="M25" s="977"/>
      <c r="N25" s="1722" t="str">
        <f>'Thong tin'!B7</f>
        <v>KT. CỤC TRƯỞNG</v>
      </c>
      <c r="O25" s="1723"/>
      <c r="P25" s="1723"/>
      <c r="Q25" s="1723"/>
      <c r="R25" s="1723"/>
      <c r="S25" s="1723"/>
      <c r="T25" s="1723"/>
      <c r="U25" s="1723"/>
    </row>
    <row r="26" spans="1:21" ht="18.75" customHeight="1">
      <c r="A26" s="604"/>
      <c r="B26" s="1749"/>
      <c r="C26" s="1749"/>
      <c r="D26" s="1749"/>
      <c r="E26" s="1749"/>
      <c r="F26" s="1749"/>
      <c r="G26" s="979"/>
      <c r="H26" s="979"/>
      <c r="I26" s="979"/>
      <c r="J26" s="979"/>
      <c r="K26" s="979"/>
      <c r="L26" s="979"/>
      <c r="M26" s="979"/>
      <c r="N26" s="1750" t="str">
        <f>'Thong tin'!B8</f>
        <v>PHÓ CỤC TRƯỞNG</v>
      </c>
      <c r="O26" s="1750"/>
      <c r="P26" s="1750"/>
      <c r="Q26" s="1750"/>
      <c r="R26" s="1750"/>
      <c r="S26" s="1750"/>
      <c r="T26" s="1750"/>
      <c r="U26" s="1750"/>
    </row>
    <row r="27" spans="2:21" ht="31.5" customHeight="1">
      <c r="B27" s="1751"/>
      <c r="C27" s="1751"/>
      <c r="D27" s="1751"/>
      <c r="E27" s="1751"/>
      <c r="F27" s="1751"/>
      <c r="G27" s="977"/>
      <c r="H27" s="977"/>
      <c r="I27" s="977"/>
      <c r="J27" s="977"/>
      <c r="K27" s="977"/>
      <c r="L27" s="977"/>
      <c r="M27" s="977"/>
      <c r="N27" s="977"/>
      <c r="O27" s="977"/>
      <c r="P27" s="1751"/>
      <c r="Q27" s="1751"/>
      <c r="R27" s="1751"/>
      <c r="S27" s="1751"/>
      <c r="T27" s="977"/>
      <c r="U27" s="977"/>
    </row>
    <row r="28" spans="2:21" ht="16.5">
      <c r="B28" s="977"/>
      <c r="C28" s="977"/>
      <c r="D28" s="977"/>
      <c r="E28" s="977"/>
      <c r="F28" s="977"/>
      <c r="G28" s="977"/>
      <c r="H28" s="977"/>
      <c r="I28" s="977"/>
      <c r="J28" s="977"/>
      <c r="K28" s="977"/>
      <c r="L28" s="977"/>
      <c r="M28" s="977"/>
      <c r="N28" s="977"/>
      <c r="O28" s="977"/>
      <c r="P28" s="977"/>
      <c r="Q28" s="977"/>
      <c r="R28" s="977"/>
      <c r="S28" s="977"/>
      <c r="T28" s="977"/>
      <c r="U28" s="977"/>
    </row>
    <row r="29" spans="2:21" ht="16.5">
      <c r="B29" s="977"/>
      <c r="C29" s="977"/>
      <c r="D29" s="977"/>
      <c r="E29" s="977"/>
      <c r="F29" s="977"/>
      <c r="G29" s="977"/>
      <c r="H29" s="977"/>
      <c r="I29" s="977"/>
      <c r="J29" s="977"/>
      <c r="K29" s="977"/>
      <c r="L29" s="977"/>
      <c r="M29" s="977"/>
      <c r="N29" s="977"/>
      <c r="O29" s="977"/>
      <c r="P29" s="977"/>
      <c r="Q29" s="977"/>
      <c r="R29" s="977"/>
      <c r="S29" s="977"/>
      <c r="T29" s="977"/>
      <c r="U29" s="977"/>
    </row>
    <row r="30" spans="2:21" ht="16.5">
      <c r="B30" s="1700" t="str">
        <f>'Thong tin'!B5</f>
        <v>Trần Quốc Bảo</v>
      </c>
      <c r="C30" s="1700"/>
      <c r="D30" s="1700"/>
      <c r="E30" s="1700"/>
      <c r="F30" s="1700"/>
      <c r="G30" s="1700"/>
      <c r="H30" s="981"/>
      <c r="I30" s="982"/>
      <c r="J30" s="982"/>
      <c r="K30" s="982"/>
      <c r="L30" s="982"/>
      <c r="M30" s="982"/>
      <c r="N30" s="1651" t="str">
        <f>'Thong tin'!B6</f>
        <v>Trần Nam</v>
      </c>
      <c r="O30" s="1651"/>
      <c r="P30" s="1651"/>
      <c r="Q30" s="1651"/>
      <c r="R30" s="1651"/>
      <c r="S30" s="1651"/>
      <c r="T30" s="1651"/>
      <c r="U30" s="1651"/>
    </row>
    <row r="31" ht="12.75" hidden="1"/>
    <row r="32" spans="1:20" ht="13.5" hidden="1">
      <c r="A32" s="606" t="s">
        <v>226</v>
      </c>
      <c r="O32" s="1747"/>
      <c r="P32" s="1747"/>
      <c r="Q32" s="1747"/>
      <c r="R32" s="1747"/>
      <c r="S32" s="1747"/>
      <c r="T32" s="1747"/>
    </row>
    <row r="33" spans="2:14" ht="12.75" customHeight="1" hidden="1">
      <c r="B33" s="1748" t="s">
        <v>635</v>
      </c>
      <c r="C33" s="1748"/>
      <c r="D33" s="1748"/>
      <c r="E33" s="1748"/>
      <c r="F33" s="1748"/>
      <c r="G33" s="1748"/>
      <c r="H33" s="1748"/>
      <c r="I33" s="1748"/>
      <c r="J33" s="1748"/>
      <c r="K33" s="1748"/>
      <c r="L33" s="607"/>
      <c r="M33" s="607"/>
      <c r="N33" s="607"/>
    </row>
    <row r="34" spans="1:14" ht="12.75" customHeight="1" hidden="1">
      <c r="A34" s="607"/>
      <c r="B34" s="608" t="s">
        <v>636</v>
      </c>
      <c r="C34" s="607"/>
      <c r="D34" s="607"/>
      <c r="E34" s="607"/>
      <c r="F34" s="607"/>
      <c r="G34" s="607"/>
      <c r="H34" s="607"/>
      <c r="I34" s="607"/>
      <c r="J34" s="607"/>
      <c r="K34" s="607"/>
      <c r="L34" s="607"/>
      <c r="M34" s="607"/>
      <c r="N34" s="607"/>
    </row>
    <row r="35" spans="2:14" ht="12.75" customHeight="1" hidden="1">
      <c r="B35" s="609" t="s">
        <v>637</v>
      </c>
      <c r="C35" s="572"/>
      <c r="D35" s="572"/>
      <c r="E35" s="572"/>
      <c r="F35" s="572"/>
      <c r="G35" s="572"/>
      <c r="H35" s="572"/>
      <c r="I35" s="572"/>
      <c r="J35" s="572"/>
      <c r="K35" s="572"/>
      <c r="L35" s="572"/>
      <c r="M35" s="572"/>
      <c r="N35" s="572"/>
    </row>
  </sheetData>
  <sheetProtection/>
  <mergeCells count="42">
    <mergeCell ref="O32:T32"/>
    <mergeCell ref="B33:K33"/>
    <mergeCell ref="B26:F26"/>
    <mergeCell ref="N26:U26"/>
    <mergeCell ref="B27:F27"/>
    <mergeCell ref="P27:S27"/>
    <mergeCell ref="B30:G30"/>
    <mergeCell ref="N30:U30"/>
    <mergeCell ref="A11:B11"/>
    <mergeCell ref="B24:G24"/>
    <mergeCell ref="N24:U24"/>
    <mergeCell ref="B25:F25"/>
    <mergeCell ref="N25:U25"/>
    <mergeCell ref="I8:I9"/>
    <mergeCell ref="J8:K8"/>
    <mergeCell ref="C8:C9"/>
    <mergeCell ref="D8:E8"/>
    <mergeCell ref="F8:F9"/>
    <mergeCell ref="G8:H8"/>
    <mergeCell ref="S7:S9"/>
    <mergeCell ref="T7:T9"/>
    <mergeCell ref="U7:U9"/>
    <mergeCell ref="L8:L9"/>
    <mergeCell ref="M8:O8"/>
    <mergeCell ref="F5:O5"/>
    <mergeCell ref="P5:U5"/>
    <mergeCell ref="F6:H7"/>
    <mergeCell ref="I6:O6"/>
    <mergeCell ref="P6:P9"/>
    <mergeCell ref="Q6:U6"/>
    <mergeCell ref="I7:K7"/>
    <mergeCell ref="L7:O7"/>
    <mergeCell ref="Q7:Q9"/>
    <mergeCell ref="R7:R9"/>
    <mergeCell ref="A2:D2"/>
    <mergeCell ref="A3:D3"/>
    <mergeCell ref="A5:B9"/>
    <mergeCell ref="C5:E7"/>
    <mergeCell ref="F1:N2"/>
    <mergeCell ref="P1:U1"/>
    <mergeCell ref="P2:U2"/>
    <mergeCell ref="F3:N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V37"/>
  <sheetViews>
    <sheetView showZeros="0" view="pageBreakPreview" zoomScaleSheetLayoutView="100" zoomScalePageLayoutView="0" workbookViewId="0" topLeftCell="A7">
      <selection activeCell="V11" sqref="V11"/>
    </sheetView>
  </sheetViews>
  <sheetFormatPr defaultColWidth="9.00390625" defaultRowHeight="15.75"/>
  <cols>
    <col min="1" max="1" width="3.00390625" style="572" customWidth="1"/>
    <col min="2" max="2" width="22.25390625" style="572" customWidth="1"/>
    <col min="3" max="3" width="7.00390625" style="572" customWidth="1"/>
    <col min="4" max="4" width="7.125" style="572" customWidth="1"/>
    <col min="5" max="5" width="5.625" style="572" customWidth="1"/>
    <col min="6" max="6" width="6.00390625" style="572" customWidth="1"/>
    <col min="7" max="7" width="5.875" style="572" customWidth="1"/>
    <col min="8" max="8" width="5.00390625" style="572" customWidth="1"/>
    <col min="9" max="9" width="5.375" style="572" customWidth="1"/>
    <col min="10" max="10" width="5.00390625" style="572" customWidth="1"/>
    <col min="11" max="11" width="5.75390625" style="572" customWidth="1"/>
    <col min="12" max="14" width="5.375" style="572" customWidth="1"/>
    <col min="15" max="15" width="5.50390625" style="572" customWidth="1"/>
    <col min="16" max="16" width="6.50390625" style="572" customWidth="1"/>
    <col min="17" max="17" width="5.375" style="572" customWidth="1"/>
    <col min="18" max="18" width="5.625" style="572" customWidth="1"/>
    <col min="19" max="19" width="5.375" style="572" customWidth="1"/>
    <col min="20" max="20" width="5.875" style="572" customWidth="1"/>
    <col min="21" max="21" width="0" style="572" hidden="1" customWidth="1"/>
    <col min="22" max="16384" width="9.00390625" style="572" customWidth="1"/>
  </cols>
  <sheetData>
    <row r="1" spans="1:21" ht="16.5" customHeight="1">
      <c r="A1" s="1672" t="s">
        <v>229</v>
      </c>
      <c r="B1" s="1672"/>
      <c r="C1" s="529"/>
      <c r="D1" s="1709" t="s">
        <v>419</v>
      </c>
      <c r="E1" s="1762"/>
      <c r="F1" s="1762"/>
      <c r="G1" s="1762"/>
      <c r="H1" s="1762"/>
      <c r="I1" s="1762"/>
      <c r="J1" s="1762"/>
      <c r="K1" s="1762"/>
      <c r="L1" s="1762"/>
      <c r="M1" s="1762"/>
      <c r="N1" s="1762"/>
      <c r="O1" s="610"/>
      <c r="P1" s="673" t="s">
        <v>656</v>
      </c>
      <c r="Q1" s="551"/>
      <c r="R1" s="551"/>
      <c r="S1" s="551"/>
      <c r="T1" s="551"/>
      <c r="U1" s="610"/>
    </row>
    <row r="2" spans="1:21" ht="16.5" customHeight="1">
      <c r="A2" s="1665" t="s">
        <v>342</v>
      </c>
      <c r="B2" s="1666"/>
      <c r="C2" s="1666"/>
      <c r="D2" s="1762"/>
      <c r="E2" s="1762"/>
      <c r="F2" s="1762"/>
      <c r="G2" s="1762"/>
      <c r="H2" s="1762"/>
      <c r="I2" s="1762"/>
      <c r="J2" s="1762"/>
      <c r="K2" s="1762"/>
      <c r="L2" s="1762"/>
      <c r="M2" s="1762"/>
      <c r="N2" s="1762"/>
      <c r="O2" s="610"/>
      <c r="P2" s="1763" t="str">
        <f>'Thong tin'!B4</f>
        <v>Cục THADS tỉnh Bình Thuận</v>
      </c>
      <c r="Q2" s="1763"/>
      <c r="R2" s="1763"/>
      <c r="S2" s="1763"/>
      <c r="T2" s="1763"/>
      <c r="U2" s="610"/>
    </row>
    <row r="3" spans="1:21" ht="16.5" customHeight="1">
      <c r="A3" s="668" t="s">
        <v>673</v>
      </c>
      <c r="B3" s="512"/>
      <c r="C3" s="512"/>
      <c r="D3" s="1710" t="str">
        <f>'Thong tin'!B3</f>
        <v>12 tháng / năm 2016</v>
      </c>
      <c r="E3" s="1710"/>
      <c r="F3" s="1710"/>
      <c r="G3" s="1710"/>
      <c r="H3" s="1710"/>
      <c r="I3" s="1710"/>
      <c r="J3" s="1710"/>
      <c r="K3" s="1710"/>
      <c r="L3" s="1710"/>
      <c r="M3" s="1710"/>
      <c r="N3" s="1710"/>
      <c r="O3" s="610"/>
      <c r="P3" s="671" t="s">
        <v>468</v>
      </c>
      <c r="Q3" s="678"/>
      <c r="R3" s="678"/>
      <c r="S3" s="678"/>
      <c r="T3" s="678"/>
      <c r="U3" s="610"/>
    </row>
    <row r="4" spans="1:21" ht="16.5" customHeight="1">
      <c r="A4" s="1670" t="s">
        <v>400</v>
      </c>
      <c r="B4" s="1670"/>
      <c r="C4" s="1670"/>
      <c r="D4" s="1755"/>
      <c r="E4" s="1755"/>
      <c r="F4" s="1755"/>
      <c r="G4" s="1755"/>
      <c r="H4" s="1755"/>
      <c r="I4" s="1755"/>
      <c r="J4" s="1755"/>
      <c r="K4" s="1755"/>
      <c r="L4" s="1755"/>
      <c r="M4" s="1755"/>
      <c r="N4" s="1755"/>
      <c r="O4" s="610"/>
      <c r="P4" s="672" t="s">
        <v>401</v>
      </c>
      <c r="Q4" s="678"/>
      <c r="R4" s="678"/>
      <c r="S4" s="678"/>
      <c r="T4" s="678"/>
      <c r="U4" s="610"/>
    </row>
    <row r="5" spans="12:21" ht="16.5" customHeight="1">
      <c r="L5" s="611"/>
      <c r="M5" s="611"/>
      <c r="N5" s="611"/>
      <c r="O5" s="558"/>
      <c r="P5" s="557" t="s">
        <v>424</v>
      </c>
      <c r="Q5" s="558"/>
      <c r="R5" s="558"/>
      <c r="S5" s="558"/>
      <c r="T5" s="558"/>
      <c r="U5" s="551"/>
    </row>
    <row r="6" spans="1:21" ht="15.75" customHeight="1">
      <c r="A6" s="1735" t="s">
        <v>72</v>
      </c>
      <c r="B6" s="1736"/>
      <c r="C6" s="1764" t="s">
        <v>230</v>
      </c>
      <c r="D6" s="1752" t="s">
        <v>231</v>
      </c>
      <c r="E6" s="1753"/>
      <c r="F6" s="1753"/>
      <c r="G6" s="1753"/>
      <c r="H6" s="1753"/>
      <c r="I6" s="1753"/>
      <c r="J6" s="1753"/>
      <c r="K6" s="1753"/>
      <c r="L6" s="1753"/>
      <c r="M6" s="1753"/>
      <c r="N6" s="1753"/>
      <c r="O6" s="1753"/>
      <c r="P6" s="1753"/>
      <c r="Q6" s="1753"/>
      <c r="R6" s="1753"/>
      <c r="S6" s="1753"/>
      <c r="T6" s="1764" t="s">
        <v>232</v>
      </c>
      <c r="U6" s="613"/>
    </row>
    <row r="7" spans="1:20" s="614" customFormat="1" ht="12.75" customHeight="1">
      <c r="A7" s="1737"/>
      <c r="B7" s="1738"/>
      <c r="C7" s="1764"/>
      <c r="D7" s="1771" t="s">
        <v>227</v>
      </c>
      <c r="E7" s="1753" t="s">
        <v>7</v>
      </c>
      <c r="F7" s="1753"/>
      <c r="G7" s="1753"/>
      <c r="H7" s="1753"/>
      <c r="I7" s="1753"/>
      <c r="J7" s="1753"/>
      <c r="K7" s="1753"/>
      <c r="L7" s="1753"/>
      <c r="M7" s="1753"/>
      <c r="N7" s="1753"/>
      <c r="O7" s="1753"/>
      <c r="P7" s="1753"/>
      <c r="Q7" s="1753"/>
      <c r="R7" s="1753"/>
      <c r="S7" s="1753"/>
      <c r="T7" s="1764"/>
    </row>
    <row r="8" spans="1:21" s="614" customFormat="1" ht="43.5" customHeight="1">
      <c r="A8" s="1737"/>
      <c r="B8" s="1738"/>
      <c r="C8" s="1764"/>
      <c r="D8" s="1772"/>
      <c r="E8" s="1774" t="s">
        <v>233</v>
      </c>
      <c r="F8" s="1764"/>
      <c r="G8" s="1764"/>
      <c r="H8" s="1764" t="s">
        <v>234</v>
      </c>
      <c r="I8" s="1764"/>
      <c r="J8" s="1764"/>
      <c r="K8" s="1764" t="s">
        <v>235</v>
      </c>
      <c r="L8" s="1764"/>
      <c r="M8" s="1764" t="s">
        <v>236</v>
      </c>
      <c r="N8" s="1764"/>
      <c r="O8" s="1764"/>
      <c r="P8" s="1764" t="s">
        <v>237</v>
      </c>
      <c r="Q8" s="1764" t="s">
        <v>238</v>
      </c>
      <c r="R8" s="1764" t="s">
        <v>239</v>
      </c>
      <c r="S8" s="1754" t="s">
        <v>240</v>
      </c>
      <c r="T8" s="1764"/>
      <c r="U8" s="1756" t="s">
        <v>425</v>
      </c>
    </row>
    <row r="9" spans="1:21" s="614" customFormat="1" ht="44.25" customHeight="1">
      <c r="A9" s="1765"/>
      <c r="B9" s="1766"/>
      <c r="C9" s="1764"/>
      <c r="D9" s="1773"/>
      <c r="E9" s="615" t="s">
        <v>241</v>
      </c>
      <c r="F9" s="612" t="s">
        <v>242</v>
      </c>
      <c r="G9" s="612" t="s">
        <v>426</v>
      </c>
      <c r="H9" s="612" t="s">
        <v>243</v>
      </c>
      <c r="I9" s="612" t="s">
        <v>244</v>
      </c>
      <c r="J9" s="612" t="s">
        <v>245</v>
      </c>
      <c r="K9" s="612" t="s">
        <v>242</v>
      </c>
      <c r="L9" s="612" t="s">
        <v>246</v>
      </c>
      <c r="M9" s="612" t="s">
        <v>247</v>
      </c>
      <c r="N9" s="612" t="s">
        <v>248</v>
      </c>
      <c r="O9" s="612" t="s">
        <v>427</v>
      </c>
      <c r="P9" s="1764"/>
      <c r="Q9" s="1764"/>
      <c r="R9" s="1764"/>
      <c r="S9" s="1754"/>
      <c r="T9" s="1764"/>
      <c r="U9" s="1757"/>
    </row>
    <row r="10" spans="1:21" s="617" customFormat="1" ht="15.75" customHeight="1">
      <c r="A10" s="1758" t="s">
        <v>6</v>
      </c>
      <c r="B10" s="1759"/>
      <c r="C10" s="616">
        <v>1</v>
      </c>
      <c r="D10" s="616">
        <v>2</v>
      </c>
      <c r="E10" s="616">
        <v>3</v>
      </c>
      <c r="F10" s="616">
        <v>4</v>
      </c>
      <c r="G10" s="616">
        <v>5</v>
      </c>
      <c r="H10" s="616">
        <v>6</v>
      </c>
      <c r="I10" s="616">
        <v>7</v>
      </c>
      <c r="J10" s="616">
        <v>8</v>
      </c>
      <c r="K10" s="616">
        <v>9</v>
      </c>
      <c r="L10" s="616">
        <v>10</v>
      </c>
      <c r="M10" s="616">
        <v>11</v>
      </c>
      <c r="N10" s="616">
        <v>12</v>
      </c>
      <c r="O10" s="616">
        <v>13</v>
      </c>
      <c r="P10" s="616">
        <v>14</v>
      </c>
      <c r="Q10" s="616">
        <v>15</v>
      </c>
      <c r="R10" s="616">
        <v>16</v>
      </c>
      <c r="S10" s="616">
        <v>17</v>
      </c>
      <c r="T10" s="616">
        <v>18</v>
      </c>
      <c r="U10" s="1757"/>
    </row>
    <row r="11" spans="1:22" s="617" customFormat="1" ht="18" customHeight="1">
      <c r="A11" s="1760" t="s">
        <v>37</v>
      </c>
      <c r="B11" s="1761"/>
      <c r="C11" s="744">
        <f>C12+C13</f>
        <v>135</v>
      </c>
      <c r="D11" s="744">
        <f aca="true" t="shared" si="0" ref="D11:T11">D12+D13</f>
        <v>131</v>
      </c>
      <c r="E11" s="744">
        <f t="shared" si="0"/>
        <v>0</v>
      </c>
      <c r="F11" s="744">
        <f t="shared" si="0"/>
        <v>15</v>
      </c>
      <c r="G11" s="744">
        <f t="shared" si="0"/>
        <v>44</v>
      </c>
      <c r="H11" s="744">
        <f t="shared" si="0"/>
        <v>0</v>
      </c>
      <c r="I11" s="744">
        <f t="shared" si="0"/>
        <v>0</v>
      </c>
      <c r="J11" s="744">
        <f t="shared" si="0"/>
        <v>4</v>
      </c>
      <c r="K11" s="744">
        <f t="shared" si="0"/>
        <v>2</v>
      </c>
      <c r="L11" s="744">
        <f t="shared" si="0"/>
        <v>23</v>
      </c>
      <c r="M11" s="744">
        <f t="shared" si="0"/>
        <v>0</v>
      </c>
      <c r="N11" s="744">
        <f t="shared" si="0"/>
        <v>1</v>
      </c>
      <c r="O11" s="744">
        <f t="shared" si="0"/>
        <v>8</v>
      </c>
      <c r="P11" s="744">
        <f t="shared" si="0"/>
        <v>5</v>
      </c>
      <c r="Q11" s="744">
        <f t="shared" si="0"/>
        <v>20</v>
      </c>
      <c r="R11" s="744">
        <f t="shared" si="0"/>
        <v>1</v>
      </c>
      <c r="S11" s="744">
        <f t="shared" si="0"/>
        <v>8</v>
      </c>
      <c r="T11" s="744">
        <f t="shared" si="0"/>
        <v>4</v>
      </c>
      <c r="U11" s="618">
        <f>D11-'[10]Báo cáo chất lượng CB Mẫu 14'!C14</f>
        <v>9</v>
      </c>
      <c r="V11" s="1172"/>
    </row>
    <row r="12" spans="1:21" s="617" customFormat="1" ht="18.75" customHeight="1">
      <c r="A12" s="236" t="s">
        <v>0</v>
      </c>
      <c r="B12" s="188" t="s">
        <v>758</v>
      </c>
      <c r="C12" s="744">
        <f>D12+T12</f>
        <v>26</v>
      </c>
      <c r="D12" s="744">
        <f>E12+F12+G12+H12+I12+J12+K12+L12+M12+N12+O12+P12+Q12+R12+S12</f>
        <v>26</v>
      </c>
      <c r="E12" s="742">
        <v>0</v>
      </c>
      <c r="F12" s="742">
        <v>9</v>
      </c>
      <c r="G12" s="742">
        <v>6</v>
      </c>
      <c r="H12" s="742">
        <v>0</v>
      </c>
      <c r="I12" s="742">
        <v>0</v>
      </c>
      <c r="J12" s="742">
        <v>0</v>
      </c>
      <c r="K12" s="742">
        <v>0</v>
      </c>
      <c r="L12" s="742">
        <v>3</v>
      </c>
      <c r="M12" s="742">
        <v>0</v>
      </c>
      <c r="N12" s="742">
        <v>1</v>
      </c>
      <c r="O12" s="742">
        <v>1</v>
      </c>
      <c r="P12" s="742">
        <v>3</v>
      </c>
      <c r="Q12" s="742">
        <v>2</v>
      </c>
      <c r="R12" s="742">
        <v>1</v>
      </c>
      <c r="S12" s="742">
        <v>0</v>
      </c>
      <c r="T12" s="742">
        <v>0</v>
      </c>
      <c r="U12" s="618">
        <f>D12-'[10]Báo cáo chất lượng CB Mẫu 14'!C15</f>
        <v>1</v>
      </c>
    </row>
    <row r="13" spans="1:21" s="617" customFormat="1" ht="18.75" customHeight="1">
      <c r="A13" s="1074" t="s">
        <v>1</v>
      </c>
      <c r="B13" s="1075" t="s">
        <v>19</v>
      </c>
      <c r="C13" s="1076">
        <f>C14+C15+C16+C17+C18+C19+C20+C21+C22+C23</f>
        <v>109</v>
      </c>
      <c r="D13" s="1076">
        <f aca="true" t="shared" si="1" ref="D13:T13">D14+D15+D16+D17+D18+D19+D20+D21+D22+D23</f>
        <v>105</v>
      </c>
      <c r="E13" s="1076">
        <f t="shared" si="1"/>
        <v>0</v>
      </c>
      <c r="F13" s="1076">
        <f t="shared" si="1"/>
        <v>6</v>
      </c>
      <c r="G13" s="1076">
        <f t="shared" si="1"/>
        <v>38</v>
      </c>
      <c r="H13" s="1076">
        <f t="shared" si="1"/>
        <v>0</v>
      </c>
      <c r="I13" s="1076">
        <f t="shared" si="1"/>
        <v>0</v>
      </c>
      <c r="J13" s="1076">
        <f t="shared" si="1"/>
        <v>4</v>
      </c>
      <c r="K13" s="1076">
        <f t="shared" si="1"/>
        <v>2</v>
      </c>
      <c r="L13" s="1076">
        <f t="shared" si="1"/>
        <v>20</v>
      </c>
      <c r="M13" s="1076">
        <f t="shared" si="1"/>
        <v>0</v>
      </c>
      <c r="N13" s="1076">
        <f t="shared" si="1"/>
        <v>0</v>
      </c>
      <c r="O13" s="1076">
        <f t="shared" si="1"/>
        <v>7</v>
      </c>
      <c r="P13" s="1076">
        <f t="shared" si="1"/>
        <v>2</v>
      </c>
      <c r="Q13" s="1076">
        <f t="shared" si="1"/>
        <v>18</v>
      </c>
      <c r="R13" s="1076">
        <f t="shared" si="1"/>
        <v>0</v>
      </c>
      <c r="S13" s="1076">
        <f t="shared" si="1"/>
        <v>8</v>
      </c>
      <c r="T13" s="1076">
        <f t="shared" si="1"/>
        <v>4</v>
      </c>
      <c r="U13" s="618">
        <f>D13-'[10]Báo cáo chất lượng CB Mẫu 14'!C16</f>
        <v>8</v>
      </c>
    </row>
    <row r="14" spans="1:21" s="617" customFormat="1" ht="17.25" customHeight="1">
      <c r="A14" s="754" t="s">
        <v>52</v>
      </c>
      <c r="B14" s="745" t="s">
        <v>748</v>
      </c>
      <c r="C14" s="744">
        <f aca="true" t="shared" si="2" ref="C14:C23">D14+T14</f>
        <v>17</v>
      </c>
      <c r="D14" s="744">
        <f aca="true" t="shared" si="3" ref="D14:D23">E14+F14+G14+H14+I14+J14+K14+L14+M14+N14+O14+P14+Q14+R14+S14</f>
        <v>17</v>
      </c>
      <c r="E14" s="965">
        <v>0</v>
      </c>
      <c r="F14" s="965">
        <v>1</v>
      </c>
      <c r="G14" s="965">
        <v>9</v>
      </c>
      <c r="H14" s="742">
        <v>0</v>
      </c>
      <c r="I14" s="742">
        <v>0</v>
      </c>
      <c r="J14" s="965">
        <v>2</v>
      </c>
      <c r="K14" s="742">
        <v>0</v>
      </c>
      <c r="L14" s="742">
        <v>3</v>
      </c>
      <c r="M14" s="742">
        <v>0</v>
      </c>
      <c r="N14" s="742">
        <v>0</v>
      </c>
      <c r="O14" s="742">
        <v>0</v>
      </c>
      <c r="P14" s="742">
        <v>0</v>
      </c>
      <c r="Q14" s="742">
        <v>2</v>
      </c>
      <c r="R14" s="742">
        <v>0</v>
      </c>
      <c r="S14" s="742">
        <v>0</v>
      </c>
      <c r="T14" s="742">
        <v>0</v>
      </c>
      <c r="U14" s="618">
        <f>D14-'[10]Báo cáo chất lượng CB Mẫu 14'!C17</f>
        <v>9</v>
      </c>
    </row>
    <row r="15" spans="1:21" s="617" customFormat="1" ht="18" customHeight="1">
      <c r="A15" s="754" t="s">
        <v>53</v>
      </c>
      <c r="B15" s="745" t="s">
        <v>749</v>
      </c>
      <c r="C15" s="744">
        <f t="shared" si="2"/>
        <v>12</v>
      </c>
      <c r="D15" s="744">
        <f t="shared" si="3"/>
        <v>11</v>
      </c>
      <c r="E15" s="965">
        <v>0</v>
      </c>
      <c r="F15" s="965">
        <v>1</v>
      </c>
      <c r="G15" s="965">
        <v>3</v>
      </c>
      <c r="H15" s="742">
        <v>0</v>
      </c>
      <c r="I15" s="742">
        <v>0</v>
      </c>
      <c r="J15" s="742">
        <v>0</v>
      </c>
      <c r="K15" s="742">
        <v>0</v>
      </c>
      <c r="L15" s="742">
        <v>3</v>
      </c>
      <c r="M15" s="742">
        <v>0</v>
      </c>
      <c r="N15" s="742">
        <v>0</v>
      </c>
      <c r="O15" s="742">
        <v>0</v>
      </c>
      <c r="P15" s="742">
        <v>1</v>
      </c>
      <c r="Q15" s="742">
        <v>2</v>
      </c>
      <c r="R15" s="742">
        <v>0</v>
      </c>
      <c r="S15" s="742">
        <v>1</v>
      </c>
      <c r="T15" s="742">
        <v>1</v>
      </c>
      <c r="U15" s="618">
        <f>D15-'[10]Báo cáo chất lượng CB Mẫu 14'!C18</f>
        <v>4</v>
      </c>
    </row>
    <row r="16" spans="1:21" s="617" customFormat="1" ht="18" customHeight="1">
      <c r="A16" s="754" t="s">
        <v>58</v>
      </c>
      <c r="B16" s="745" t="s">
        <v>750</v>
      </c>
      <c r="C16" s="744">
        <f t="shared" si="2"/>
        <v>13</v>
      </c>
      <c r="D16" s="744">
        <f t="shared" si="3"/>
        <v>12</v>
      </c>
      <c r="E16" s="965">
        <v>0</v>
      </c>
      <c r="F16" s="965">
        <v>0</v>
      </c>
      <c r="G16" s="965">
        <v>4</v>
      </c>
      <c r="H16" s="742">
        <v>0</v>
      </c>
      <c r="I16" s="742">
        <v>0</v>
      </c>
      <c r="J16" s="742">
        <v>0</v>
      </c>
      <c r="K16" s="742">
        <v>0</v>
      </c>
      <c r="L16" s="742">
        <v>1</v>
      </c>
      <c r="M16" s="742">
        <v>0</v>
      </c>
      <c r="N16" s="742">
        <v>0</v>
      </c>
      <c r="O16" s="742">
        <v>4</v>
      </c>
      <c r="P16" s="742">
        <v>0</v>
      </c>
      <c r="Q16" s="742">
        <v>2</v>
      </c>
      <c r="R16" s="742">
        <v>0</v>
      </c>
      <c r="S16" s="742">
        <v>1</v>
      </c>
      <c r="T16" s="742">
        <v>1</v>
      </c>
      <c r="U16" s="618">
        <f>D16-'[10]Báo cáo chất lượng CB Mẫu 14'!C19</f>
        <v>-2</v>
      </c>
    </row>
    <row r="17" spans="1:21" s="617" customFormat="1" ht="18" customHeight="1">
      <c r="A17" s="754" t="s">
        <v>73</v>
      </c>
      <c r="B17" s="745" t="s">
        <v>751</v>
      </c>
      <c r="C17" s="744">
        <f t="shared" si="2"/>
        <v>11</v>
      </c>
      <c r="D17" s="744">
        <f t="shared" si="3"/>
        <v>11</v>
      </c>
      <c r="E17" s="965">
        <v>0</v>
      </c>
      <c r="F17" s="965">
        <v>1</v>
      </c>
      <c r="G17" s="965">
        <v>5</v>
      </c>
      <c r="H17" s="742">
        <v>0</v>
      </c>
      <c r="I17" s="742">
        <v>0</v>
      </c>
      <c r="J17" s="742">
        <v>0</v>
      </c>
      <c r="K17" s="742">
        <v>0</v>
      </c>
      <c r="L17" s="742">
        <v>1</v>
      </c>
      <c r="M17" s="742">
        <v>0</v>
      </c>
      <c r="N17" s="742">
        <v>0</v>
      </c>
      <c r="O17" s="742">
        <v>1</v>
      </c>
      <c r="P17" s="742">
        <v>0</v>
      </c>
      <c r="Q17" s="742">
        <v>2</v>
      </c>
      <c r="R17" s="742">
        <v>0</v>
      </c>
      <c r="S17" s="742">
        <v>1</v>
      </c>
      <c r="T17" s="742">
        <v>0</v>
      </c>
      <c r="U17" s="618"/>
    </row>
    <row r="18" spans="1:21" s="617" customFormat="1" ht="18" customHeight="1">
      <c r="A18" s="754" t="s">
        <v>74</v>
      </c>
      <c r="B18" s="745" t="s">
        <v>752</v>
      </c>
      <c r="C18" s="744">
        <f t="shared" si="2"/>
        <v>12</v>
      </c>
      <c r="D18" s="744">
        <f t="shared" si="3"/>
        <v>11</v>
      </c>
      <c r="E18" s="965">
        <v>0</v>
      </c>
      <c r="F18" s="965">
        <v>0</v>
      </c>
      <c r="G18" s="965">
        <v>4</v>
      </c>
      <c r="H18" s="742">
        <v>0</v>
      </c>
      <c r="I18" s="742">
        <v>0</v>
      </c>
      <c r="J18" s="742">
        <v>1</v>
      </c>
      <c r="K18" s="742">
        <v>0</v>
      </c>
      <c r="L18" s="742">
        <v>1</v>
      </c>
      <c r="M18" s="742">
        <v>0</v>
      </c>
      <c r="N18" s="742">
        <v>0</v>
      </c>
      <c r="O18" s="742">
        <v>1</v>
      </c>
      <c r="P18" s="742">
        <v>1</v>
      </c>
      <c r="Q18" s="742">
        <v>2</v>
      </c>
      <c r="R18" s="742">
        <v>0</v>
      </c>
      <c r="S18" s="742">
        <v>1</v>
      </c>
      <c r="T18" s="742">
        <v>1</v>
      </c>
      <c r="U18" s="618"/>
    </row>
    <row r="19" spans="1:21" s="617" customFormat="1" ht="18.75" customHeight="1">
      <c r="A19" s="754" t="s">
        <v>75</v>
      </c>
      <c r="B19" s="745" t="s">
        <v>753</v>
      </c>
      <c r="C19" s="744">
        <f t="shared" si="2"/>
        <v>9</v>
      </c>
      <c r="D19" s="744">
        <f t="shared" si="3"/>
        <v>8</v>
      </c>
      <c r="E19" s="965">
        <v>0</v>
      </c>
      <c r="F19" s="965">
        <v>0</v>
      </c>
      <c r="G19" s="965">
        <v>2</v>
      </c>
      <c r="H19" s="742">
        <v>0</v>
      </c>
      <c r="I19" s="742">
        <v>0</v>
      </c>
      <c r="J19" s="742">
        <v>1</v>
      </c>
      <c r="K19" s="965">
        <v>1</v>
      </c>
      <c r="L19" s="742">
        <v>2</v>
      </c>
      <c r="M19" s="742">
        <v>0</v>
      </c>
      <c r="N19" s="742">
        <v>0</v>
      </c>
      <c r="O19" s="742">
        <v>0</v>
      </c>
      <c r="P19" s="742">
        <v>0</v>
      </c>
      <c r="Q19" s="742">
        <v>2</v>
      </c>
      <c r="R19" s="742">
        <v>0</v>
      </c>
      <c r="S19" s="742">
        <v>0</v>
      </c>
      <c r="T19" s="742">
        <v>1</v>
      </c>
      <c r="U19" s="618"/>
    </row>
    <row r="20" spans="1:21" s="617" customFormat="1" ht="18" customHeight="1">
      <c r="A20" s="754" t="s">
        <v>76</v>
      </c>
      <c r="B20" s="745" t="s">
        <v>754</v>
      </c>
      <c r="C20" s="744">
        <f t="shared" si="2"/>
        <v>12</v>
      </c>
      <c r="D20" s="744">
        <f t="shared" si="3"/>
        <v>12</v>
      </c>
      <c r="E20" s="965">
        <v>0</v>
      </c>
      <c r="F20" s="965">
        <v>2</v>
      </c>
      <c r="G20" s="965">
        <v>3</v>
      </c>
      <c r="H20" s="742">
        <v>0</v>
      </c>
      <c r="I20" s="742">
        <v>0</v>
      </c>
      <c r="J20" s="742">
        <v>0</v>
      </c>
      <c r="K20" s="742">
        <v>0</v>
      </c>
      <c r="L20" s="742">
        <v>5</v>
      </c>
      <c r="M20" s="742">
        <v>0</v>
      </c>
      <c r="N20" s="742">
        <v>0</v>
      </c>
      <c r="O20" s="742">
        <v>0</v>
      </c>
      <c r="P20" s="742">
        <v>0</v>
      </c>
      <c r="Q20" s="742">
        <v>2</v>
      </c>
      <c r="R20" s="742">
        <v>0</v>
      </c>
      <c r="S20" s="742">
        <v>0</v>
      </c>
      <c r="T20" s="742">
        <v>0</v>
      </c>
      <c r="U20" s="618">
        <f>D20-'[10]Báo cáo chất lượng CB Mẫu 14'!C20</f>
        <v>5</v>
      </c>
    </row>
    <row r="21" spans="1:21" s="617" customFormat="1" ht="19.5" customHeight="1">
      <c r="A21" s="754" t="s">
        <v>77</v>
      </c>
      <c r="B21" s="745" t="s">
        <v>755</v>
      </c>
      <c r="C21" s="744">
        <f t="shared" si="2"/>
        <v>9</v>
      </c>
      <c r="D21" s="744">
        <f t="shared" si="3"/>
        <v>9</v>
      </c>
      <c r="E21" s="965">
        <v>0</v>
      </c>
      <c r="F21" s="965">
        <v>0</v>
      </c>
      <c r="G21" s="965">
        <v>4</v>
      </c>
      <c r="H21" s="742">
        <v>0</v>
      </c>
      <c r="I21" s="742">
        <v>0</v>
      </c>
      <c r="J21" s="742">
        <v>0</v>
      </c>
      <c r="K21" s="742">
        <v>0</v>
      </c>
      <c r="L21" s="742">
        <v>1</v>
      </c>
      <c r="M21" s="742">
        <v>0</v>
      </c>
      <c r="N21" s="742">
        <v>0</v>
      </c>
      <c r="O21" s="742">
        <v>1</v>
      </c>
      <c r="P21" s="742">
        <v>0</v>
      </c>
      <c r="Q21" s="742">
        <v>2</v>
      </c>
      <c r="R21" s="742">
        <v>0</v>
      </c>
      <c r="S21" s="742">
        <v>1</v>
      </c>
      <c r="T21" s="742">
        <v>0</v>
      </c>
      <c r="U21" s="618">
        <f>D21-'[10]Báo cáo chất lượng CB Mẫu 14'!C21</f>
        <v>1</v>
      </c>
    </row>
    <row r="22" spans="1:21" s="617" customFormat="1" ht="18" customHeight="1">
      <c r="A22" s="754" t="s">
        <v>78</v>
      </c>
      <c r="B22" s="745" t="s">
        <v>756</v>
      </c>
      <c r="C22" s="744">
        <f t="shared" si="2"/>
        <v>9</v>
      </c>
      <c r="D22" s="744">
        <f t="shared" si="3"/>
        <v>9</v>
      </c>
      <c r="E22" s="965">
        <v>0</v>
      </c>
      <c r="F22" s="965">
        <v>0</v>
      </c>
      <c r="G22" s="965">
        <v>3</v>
      </c>
      <c r="H22" s="742">
        <v>0</v>
      </c>
      <c r="I22" s="742">
        <v>0</v>
      </c>
      <c r="J22" s="742">
        <v>0</v>
      </c>
      <c r="K22" s="742">
        <v>0</v>
      </c>
      <c r="L22" s="742">
        <v>3</v>
      </c>
      <c r="M22" s="742">
        <v>0</v>
      </c>
      <c r="N22" s="742">
        <v>0</v>
      </c>
      <c r="O22" s="742">
        <v>0</v>
      </c>
      <c r="P22" s="742">
        <v>0</v>
      </c>
      <c r="Q22" s="742">
        <v>1</v>
      </c>
      <c r="R22" s="742">
        <v>0</v>
      </c>
      <c r="S22" s="742">
        <v>2</v>
      </c>
      <c r="T22" s="742">
        <v>0</v>
      </c>
      <c r="U22" s="618">
        <f>D22-'[10]Báo cáo chất lượng CB Mẫu 14'!C22</f>
        <v>-1</v>
      </c>
    </row>
    <row r="23" spans="1:21" s="617" customFormat="1" ht="18.75" customHeight="1" thickBot="1">
      <c r="A23" s="755" t="s">
        <v>101</v>
      </c>
      <c r="B23" s="1005" t="s">
        <v>757</v>
      </c>
      <c r="C23" s="746">
        <f t="shared" si="2"/>
        <v>5</v>
      </c>
      <c r="D23" s="746">
        <f t="shared" si="3"/>
        <v>5</v>
      </c>
      <c r="E23" s="972">
        <v>0</v>
      </c>
      <c r="F23" s="972">
        <v>1</v>
      </c>
      <c r="G23" s="972">
        <v>1</v>
      </c>
      <c r="H23" s="747">
        <v>0</v>
      </c>
      <c r="I23" s="747">
        <v>0</v>
      </c>
      <c r="J23" s="747">
        <v>0</v>
      </c>
      <c r="K23" s="747">
        <v>1</v>
      </c>
      <c r="L23" s="747">
        <v>0</v>
      </c>
      <c r="M23" s="747">
        <v>0</v>
      </c>
      <c r="N23" s="747">
        <v>0</v>
      </c>
      <c r="O23" s="747">
        <v>0</v>
      </c>
      <c r="P23" s="747">
        <v>0</v>
      </c>
      <c r="Q23" s="747">
        <v>1</v>
      </c>
      <c r="R23" s="747">
        <v>0</v>
      </c>
      <c r="S23" s="747">
        <v>1</v>
      </c>
      <c r="T23" s="747">
        <v>0</v>
      </c>
      <c r="U23" s="618">
        <f>D23-'[10]Báo cáo chất lượng CB Mẫu 14'!C23</f>
        <v>-2</v>
      </c>
    </row>
    <row r="24" ht="6" customHeight="1" thickTop="1"/>
    <row r="25" spans="1:20" s="553" customFormat="1" ht="15.75" customHeight="1">
      <c r="A25" s="619"/>
      <c r="B25" s="1769"/>
      <c r="C25" s="1769"/>
      <c r="D25" s="1769"/>
      <c r="E25" s="1769"/>
      <c r="F25" s="983"/>
      <c r="G25" s="983"/>
      <c r="H25" s="983"/>
      <c r="I25" s="983"/>
      <c r="J25" s="983"/>
      <c r="K25" s="983" t="s">
        <v>249</v>
      </c>
      <c r="L25" s="982"/>
      <c r="M25" s="1770" t="str">
        <f>'Thong tin'!B9</f>
        <v>Bình Thuận, ngày 04 tháng 10 năm 2016</v>
      </c>
      <c r="N25" s="1770"/>
      <c r="O25" s="1770"/>
      <c r="P25" s="1770"/>
      <c r="Q25" s="1770"/>
      <c r="R25" s="1770"/>
      <c r="S25" s="1770"/>
      <c r="T25" s="1770"/>
    </row>
    <row r="26" spans="1:20" s="553" customFormat="1" ht="21" customHeight="1">
      <c r="A26" s="619"/>
      <c r="B26" s="1767" t="s">
        <v>250</v>
      </c>
      <c r="C26" s="1767"/>
      <c r="D26" s="1767"/>
      <c r="E26" s="984"/>
      <c r="F26" s="985"/>
      <c r="G26" s="985"/>
      <c r="H26" s="985"/>
      <c r="I26" s="985"/>
      <c r="J26" s="985"/>
      <c r="K26" s="985"/>
      <c r="L26" s="982"/>
      <c r="M26" s="1723" t="str">
        <f>'Thong tin'!B7</f>
        <v>KT. CỤC TRƯỞNG</v>
      </c>
      <c r="N26" s="1723"/>
      <c r="O26" s="1723"/>
      <c r="P26" s="1723"/>
      <c r="Q26" s="1723"/>
      <c r="R26" s="1723"/>
      <c r="S26" s="1723"/>
      <c r="T26" s="1723"/>
    </row>
    <row r="27" spans="1:20" s="553" customFormat="1" ht="18" customHeight="1">
      <c r="A27" s="572"/>
      <c r="B27" s="1749"/>
      <c r="C27" s="1749"/>
      <c r="D27" s="1749"/>
      <c r="E27" s="986"/>
      <c r="F27" s="986"/>
      <c r="G27" s="986"/>
      <c r="H27" s="986"/>
      <c r="I27" s="986"/>
      <c r="J27" s="986"/>
      <c r="K27" s="986"/>
      <c r="L27" s="986"/>
      <c r="M27" s="1723" t="str">
        <f>'Thong tin'!B8</f>
        <v>PHÓ CỤC TRƯỞNG</v>
      </c>
      <c r="N27" s="1723"/>
      <c r="O27" s="1723"/>
      <c r="P27" s="1723"/>
      <c r="Q27" s="1723"/>
      <c r="R27" s="1723"/>
      <c r="S27" s="1723"/>
      <c r="T27" s="1723"/>
    </row>
    <row r="28" spans="1:20" s="553" customFormat="1" ht="16.5">
      <c r="A28" s="572"/>
      <c r="B28" s="986"/>
      <c r="C28" s="986"/>
      <c r="D28" s="986"/>
      <c r="E28" s="986"/>
      <c r="F28" s="986"/>
      <c r="G28" s="986"/>
      <c r="H28" s="986"/>
      <c r="I28" s="986"/>
      <c r="J28" s="986"/>
      <c r="K28" s="986"/>
      <c r="L28" s="986"/>
      <c r="M28" s="950"/>
      <c r="N28" s="950"/>
      <c r="O28" s="950"/>
      <c r="P28" s="950"/>
      <c r="Q28" s="676"/>
      <c r="R28" s="676"/>
      <c r="S28" s="676"/>
      <c r="T28" s="676"/>
    </row>
    <row r="29" spans="2:20" ht="13.5" customHeight="1" hidden="1">
      <c r="B29" s="986"/>
      <c r="C29" s="986"/>
      <c r="D29" s="986"/>
      <c r="E29" s="986"/>
      <c r="F29" s="986"/>
      <c r="G29" s="986"/>
      <c r="H29" s="986"/>
      <c r="I29" s="986"/>
      <c r="J29" s="986"/>
      <c r="K29" s="986"/>
      <c r="L29" s="986"/>
      <c r="M29" s="950"/>
      <c r="N29" s="950"/>
      <c r="O29" s="950"/>
      <c r="P29" s="950"/>
      <c r="Q29" s="950"/>
      <c r="R29" s="950"/>
      <c r="S29" s="950"/>
      <c r="T29" s="950"/>
    </row>
    <row r="30" spans="1:20" ht="16.5" hidden="1">
      <c r="A30" s="620" t="s">
        <v>252</v>
      </c>
      <c r="B30" s="986"/>
      <c r="C30" s="986"/>
      <c r="D30" s="986"/>
      <c r="E30" s="986"/>
      <c r="F30" s="986"/>
      <c r="G30" s="986"/>
      <c r="H30" s="986"/>
      <c r="I30" s="986"/>
      <c r="J30" s="986"/>
      <c r="K30" s="986"/>
      <c r="L30" s="986"/>
      <c r="M30" s="950"/>
      <c r="N30" s="950"/>
      <c r="O30" s="950"/>
      <c r="P30" s="950"/>
      <c r="Q30" s="950"/>
      <c r="R30" s="950"/>
      <c r="S30" s="950"/>
      <c r="T30" s="950"/>
    </row>
    <row r="31" spans="2:20" ht="16.5" hidden="1">
      <c r="B31" s="987" t="s">
        <v>253</v>
      </c>
      <c r="C31" s="986"/>
      <c r="D31" s="986"/>
      <c r="E31" s="986"/>
      <c r="F31" s="986"/>
      <c r="G31" s="986"/>
      <c r="H31" s="986"/>
      <c r="I31" s="986"/>
      <c r="J31" s="986"/>
      <c r="K31" s="986"/>
      <c r="L31" s="986"/>
      <c r="M31" s="950"/>
      <c r="N31" s="950"/>
      <c r="O31" s="950"/>
      <c r="P31" s="950"/>
      <c r="Q31" s="950"/>
      <c r="R31" s="950"/>
      <c r="S31" s="950"/>
      <c r="T31" s="950"/>
    </row>
    <row r="32" spans="2:20" ht="16.5" hidden="1">
      <c r="B32" s="987" t="s">
        <v>254</v>
      </c>
      <c r="C32" s="986"/>
      <c r="D32" s="986"/>
      <c r="E32" s="986"/>
      <c r="F32" s="986"/>
      <c r="G32" s="986"/>
      <c r="H32" s="986"/>
      <c r="I32" s="986"/>
      <c r="J32" s="986"/>
      <c r="K32" s="986"/>
      <c r="L32" s="986"/>
      <c r="M32" s="950"/>
      <c r="N32" s="950"/>
      <c r="O32" s="950"/>
      <c r="P32" s="950"/>
      <c r="Q32" s="950"/>
      <c r="R32" s="950"/>
      <c r="S32" s="950"/>
      <c r="T32" s="950"/>
    </row>
    <row r="33" spans="2:20" s="609" customFormat="1" ht="16.5">
      <c r="B33" s="1768"/>
      <c r="C33" s="1768"/>
      <c r="D33" s="1768"/>
      <c r="E33" s="987"/>
      <c r="F33" s="987"/>
      <c r="G33" s="987"/>
      <c r="H33" s="987"/>
      <c r="I33" s="987"/>
      <c r="J33" s="987"/>
      <c r="K33" s="987"/>
      <c r="L33" s="987"/>
      <c r="M33" s="988"/>
      <c r="N33" s="1711"/>
      <c r="O33" s="1711"/>
      <c r="P33" s="1711"/>
      <c r="Q33" s="1711"/>
      <c r="R33" s="1711"/>
      <c r="S33" s="1711"/>
      <c r="T33" s="988"/>
    </row>
    <row r="34" spans="2:20" ht="16.5">
      <c r="B34" s="986"/>
      <c r="C34" s="986"/>
      <c r="D34" s="986"/>
      <c r="E34" s="986"/>
      <c r="F34" s="986"/>
      <c r="G34" s="986"/>
      <c r="H34" s="986"/>
      <c r="I34" s="986"/>
      <c r="J34" s="986"/>
      <c r="K34" s="986"/>
      <c r="L34" s="986"/>
      <c r="M34" s="950"/>
      <c r="N34" s="950"/>
      <c r="O34" s="950"/>
      <c r="P34" s="950"/>
      <c r="Q34" s="950"/>
      <c r="R34" s="950"/>
      <c r="S34" s="950"/>
      <c r="T34" s="950"/>
    </row>
    <row r="35" spans="2:21" ht="16.5">
      <c r="B35" s="1700" t="str">
        <f>'Thong tin'!B5</f>
        <v>Trần Quốc Bảo</v>
      </c>
      <c r="C35" s="1700"/>
      <c r="D35" s="1700"/>
      <c r="E35" s="981"/>
      <c r="F35" s="981"/>
      <c r="G35" s="981"/>
      <c r="H35" s="981"/>
      <c r="I35" s="982"/>
      <c r="J35" s="982"/>
      <c r="K35" s="982"/>
      <c r="L35" s="982"/>
      <c r="M35" s="1651" t="str">
        <f>'Thong tin'!B6</f>
        <v>Trần Nam</v>
      </c>
      <c r="N35" s="1651"/>
      <c r="O35" s="1651"/>
      <c r="P35" s="1651"/>
      <c r="Q35" s="1651"/>
      <c r="R35" s="1651"/>
      <c r="S35" s="1651"/>
      <c r="T35" s="1651"/>
      <c r="U35" s="546"/>
    </row>
    <row r="36" spans="2:20" ht="18.75">
      <c r="B36" s="573"/>
      <c r="C36" s="573"/>
      <c r="D36" s="573"/>
      <c r="E36" s="573"/>
      <c r="F36" s="573"/>
      <c r="G36" s="573"/>
      <c r="H36" s="573"/>
      <c r="I36" s="573"/>
      <c r="J36" s="573"/>
      <c r="K36" s="573"/>
      <c r="L36" s="573"/>
      <c r="M36" s="573"/>
      <c r="N36" s="573"/>
      <c r="O36" s="573"/>
      <c r="P36" s="573"/>
      <c r="Q36" s="573"/>
      <c r="R36" s="573"/>
      <c r="S36" s="573"/>
      <c r="T36" s="573"/>
    </row>
    <row r="37" spans="2:20" ht="18.75">
      <c r="B37" s="573"/>
      <c r="C37" s="573"/>
      <c r="D37" s="573"/>
      <c r="E37" s="573"/>
      <c r="F37" s="573"/>
      <c r="G37" s="573"/>
      <c r="H37" s="573"/>
      <c r="I37" s="573"/>
      <c r="J37" s="573"/>
      <c r="K37" s="573"/>
      <c r="L37" s="573"/>
      <c r="M37" s="573"/>
      <c r="N37" s="573"/>
      <c r="O37" s="573"/>
      <c r="P37" s="573"/>
      <c r="Q37" s="573"/>
      <c r="R37" s="573"/>
      <c r="S37" s="573"/>
      <c r="T37" s="573"/>
    </row>
  </sheetData>
  <sheetProtection/>
  <mergeCells count="34">
    <mergeCell ref="B25:E25"/>
    <mergeCell ref="M25:T25"/>
    <mergeCell ref="K8:L8"/>
    <mergeCell ref="M8:O8"/>
    <mergeCell ref="P8:P9"/>
    <mergeCell ref="T6:T9"/>
    <mergeCell ref="D7:D9"/>
    <mergeCell ref="E7:S7"/>
    <mergeCell ref="E8:G8"/>
    <mergeCell ref="H8:J8"/>
    <mergeCell ref="B35:D35"/>
    <mergeCell ref="M35:T35"/>
    <mergeCell ref="B26:D26"/>
    <mergeCell ref="M26:T26"/>
    <mergeCell ref="B27:D27"/>
    <mergeCell ref="M27:T27"/>
    <mergeCell ref="B33:D33"/>
    <mergeCell ref="N33:S33"/>
    <mergeCell ref="U8:U10"/>
    <mergeCell ref="A10:B10"/>
    <mergeCell ref="A11:B11"/>
    <mergeCell ref="D1:N2"/>
    <mergeCell ref="A2:C2"/>
    <mergeCell ref="P2:T2"/>
    <mergeCell ref="Q8:Q9"/>
    <mergeCell ref="R8:R9"/>
    <mergeCell ref="A6:B9"/>
    <mergeCell ref="C6:C9"/>
    <mergeCell ref="D6:S6"/>
    <mergeCell ref="S8:S9"/>
    <mergeCell ref="A1:B1"/>
    <mergeCell ref="A4:C4"/>
    <mergeCell ref="D4:N4"/>
    <mergeCell ref="D3:N3"/>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187" t="s">
        <v>28</v>
      </c>
      <c r="B1" s="1187"/>
      <c r="C1" s="107"/>
      <c r="D1" s="1186" t="s">
        <v>457</v>
      </c>
      <c r="E1" s="1186"/>
      <c r="F1" s="1186"/>
      <c r="G1" s="1186"/>
      <c r="H1" s="1186"/>
      <c r="I1" s="1186"/>
      <c r="J1" s="1186"/>
      <c r="K1" s="1186"/>
      <c r="L1" s="1186"/>
      <c r="M1" s="1266" t="s">
        <v>398</v>
      </c>
      <c r="N1" s="1267"/>
      <c r="O1" s="1267"/>
      <c r="P1" s="1267"/>
    </row>
    <row r="2" spans="1:16" s="51" customFormat="1" ht="34.5" customHeight="1">
      <c r="A2" s="1185" t="s">
        <v>399</v>
      </c>
      <c r="B2" s="1185"/>
      <c r="C2" s="1185"/>
      <c r="D2" s="1186"/>
      <c r="E2" s="1186"/>
      <c r="F2" s="1186"/>
      <c r="G2" s="1186"/>
      <c r="H2" s="1186"/>
      <c r="I2" s="1186"/>
      <c r="J2" s="1186"/>
      <c r="K2" s="1186"/>
      <c r="L2" s="1186"/>
      <c r="M2" s="1268" t="s">
        <v>458</v>
      </c>
      <c r="N2" s="1269"/>
      <c r="O2" s="1269"/>
      <c r="P2" s="1269"/>
    </row>
    <row r="3" spans="1:16" s="51" customFormat="1" ht="19.5" customHeight="1">
      <c r="A3" s="1184" t="s">
        <v>400</v>
      </c>
      <c r="B3" s="1184"/>
      <c r="C3" s="1184"/>
      <c r="D3" s="1186"/>
      <c r="E3" s="1186"/>
      <c r="F3" s="1186"/>
      <c r="G3" s="1186"/>
      <c r="H3" s="1186"/>
      <c r="I3" s="1186"/>
      <c r="J3" s="1186"/>
      <c r="K3" s="1186"/>
      <c r="L3" s="1186"/>
      <c r="M3" s="1268" t="s">
        <v>401</v>
      </c>
      <c r="N3" s="1269"/>
      <c r="O3" s="1269"/>
      <c r="P3" s="1269"/>
    </row>
    <row r="4" spans="1:16" s="112" customFormat="1" ht="18.75" customHeight="1">
      <c r="A4" s="108"/>
      <c r="B4" s="108"/>
      <c r="C4" s="109"/>
      <c r="D4" s="1215"/>
      <c r="E4" s="1215"/>
      <c r="F4" s="1215"/>
      <c r="G4" s="1215"/>
      <c r="H4" s="1215"/>
      <c r="I4" s="1215"/>
      <c r="J4" s="1215"/>
      <c r="K4" s="1215"/>
      <c r="L4" s="1215"/>
      <c r="M4" s="110" t="s">
        <v>402</v>
      </c>
      <c r="N4" s="111"/>
      <c r="O4" s="111"/>
      <c r="P4" s="111"/>
    </row>
    <row r="5" spans="1:16" ht="49.5" customHeight="1">
      <c r="A5" s="1175" t="s">
        <v>72</v>
      </c>
      <c r="B5" s="1176"/>
      <c r="C5" s="1189" t="s">
        <v>100</v>
      </c>
      <c r="D5" s="1190"/>
      <c r="E5" s="1190"/>
      <c r="F5" s="1190"/>
      <c r="G5" s="1190"/>
      <c r="H5" s="1190"/>
      <c r="I5" s="1190"/>
      <c r="J5" s="1190"/>
      <c r="K5" s="1188" t="s">
        <v>99</v>
      </c>
      <c r="L5" s="1188"/>
      <c r="M5" s="1188"/>
      <c r="N5" s="1188"/>
      <c r="O5" s="1188"/>
      <c r="P5" s="1188"/>
    </row>
    <row r="6" spans="1:16" ht="20.25" customHeight="1">
      <c r="A6" s="1177"/>
      <c r="B6" s="1178"/>
      <c r="C6" s="1189" t="s">
        <v>3</v>
      </c>
      <c r="D6" s="1190"/>
      <c r="E6" s="1190"/>
      <c r="F6" s="1191"/>
      <c r="G6" s="1188" t="s">
        <v>10</v>
      </c>
      <c r="H6" s="1188"/>
      <c r="I6" s="1188"/>
      <c r="J6" s="1188"/>
      <c r="K6" s="1270" t="s">
        <v>3</v>
      </c>
      <c r="L6" s="1270"/>
      <c r="M6" s="1270"/>
      <c r="N6" s="1263" t="s">
        <v>10</v>
      </c>
      <c r="O6" s="1263"/>
      <c r="P6" s="1263"/>
    </row>
    <row r="7" spans="1:16" ht="52.5" customHeight="1">
      <c r="A7" s="1177"/>
      <c r="B7" s="1178"/>
      <c r="C7" s="1261" t="s">
        <v>403</v>
      </c>
      <c r="D7" s="1190" t="s">
        <v>96</v>
      </c>
      <c r="E7" s="1190"/>
      <c r="F7" s="1191"/>
      <c r="G7" s="1188" t="s">
        <v>404</v>
      </c>
      <c r="H7" s="1188" t="s">
        <v>96</v>
      </c>
      <c r="I7" s="1188"/>
      <c r="J7" s="1188"/>
      <c r="K7" s="1188" t="s">
        <v>39</v>
      </c>
      <c r="L7" s="1188" t="s">
        <v>97</v>
      </c>
      <c r="M7" s="1188"/>
      <c r="N7" s="1188" t="s">
        <v>80</v>
      </c>
      <c r="O7" s="1188" t="s">
        <v>97</v>
      </c>
      <c r="P7" s="1188"/>
    </row>
    <row r="8" spans="1:16" ht="15.75" customHeight="1">
      <c r="A8" s="1177"/>
      <c r="B8" s="1178"/>
      <c r="C8" s="1261"/>
      <c r="D8" s="1188" t="s">
        <v>44</v>
      </c>
      <c r="E8" s="1188" t="s">
        <v>45</v>
      </c>
      <c r="F8" s="1188" t="s">
        <v>48</v>
      </c>
      <c r="G8" s="1188"/>
      <c r="H8" s="1188" t="s">
        <v>44</v>
      </c>
      <c r="I8" s="1188" t="s">
        <v>45</v>
      </c>
      <c r="J8" s="1188" t="s">
        <v>48</v>
      </c>
      <c r="K8" s="1188"/>
      <c r="L8" s="1188" t="s">
        <v>16</v>
      </c>
      <c r="M8" s="1188" t="s">
        <v>15</v>
      </c>
      <c r="N8" s="1188"/>
      <c r="O8" s="1188" t="s">
        <v>16</v>
      </c>
      <c r="P8" s="1188" t="s">
        <v>15</v>
      </c>
    </row>
    <row r="9" spans="1:16" ht="44.25" customHeight="1">
      <c r="A9" s="1173"/>
      <c r="B9" s="1260"/>
      <c r="C9" s="1262"/>
      <c r="D9" s="1188"/>
      <c r="E9" s="1188"/>
      <c r="F9" s="1188"/>
      <c r="G9" s="1188"/>
      <c r="H9" s="1188"/>
      <c r="I9" s="1188"/>
      <c r="J9" s="1188"/>
      <c r="K9" s="1188"/>
      <c r="L9" s="1188"/>
      <c r="M9" s="1188"/>
      <c r="N9" s="1188"/>
      <c r="O9" s="1188"/>
      <c r="P9" s="1188"/>
    </row>
    <row r="10" spans="1:16" ht="15" customHeight="1">
      <c r="A10" s="1183" t="s">
        <v>6</v>
      </c>
      <c r="B10" s="1174"/>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264" t="s">
        <v>405</v>
      </c>
      <c r="B11" s="1265"/>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179" t="s">
        <v>406</v>
      </c>
      <c r="B12" s="1180"/>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181" t="s">
        <v>41</v>
      </c>
      <c r="B13" s="1182"/>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374</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375</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407</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377</v>
      </c>
    </row>
    <row r="18" spans="1:16" s="51" customFormat="1" ht="15" customHeight="1">
      <c r="A18" s="125" t="s">
        <v>58</v>
      </c>
      <c r="B18" s="126" t="s">
        <v>378</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379</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380</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381</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382</v>
      </c>
      <c r="AK21" s="51" t="s">
        <v>383</v>
      </c>
      <c r="AL21" s="51" t="s">
        <v>384</v>
      </c>
      <c r="AM21" s="122" t="s">
        <v>385</v>
      </c>
    </row>
    <row r="22" spans="1:39" s="51" customFormat="1" ht="15" customHeight="1">
      <c r="A22" s="125" t="s">
        <v>76</v>
      </c>
      <c r="B22" s="126" t="s">
        <v>386</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387</v>
      </c>
    </row>
    <row r="23" spans="1:16" s="51" customFormat="1" ht="15" customHeight="1">
      <c r="A23" s="125" t="s">
        <v>77</v>
      </c>
      <c r="B23" s="126" t="s">
        <v>388</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389</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382</v>
      </c>
    </row>
    <row r="25" spans="1:36" s="51" customFormat="1" ht="15" customHeight="1">
      <c r="A25" s="125" t="s">
        <v>101</v>
      </c>
      <c r="B25" s="126" t="s">
        <v>390</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391</v>
      </c>
    </row>
    <row r="26" spans="1:44" s="51" customFormat="1" ht="15" customHeight="1">
      <c r="A26" s="125" t="s">
        <v>102</v>
      </c>
      <c r="B26" s="126" t="s">
        <v>392</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276" t="s">
        <v>459</v>
      </c>
      <c r="C28" s="1277"/>
      <c r="D28" s="1277"/>
      <c r="E28" s="1277"/>
      <c r="F28" s="132"/>
      <c r="G28" s="132"/>
      <c r="H28" s="132"/>
      <c r="I28" s="132"/>
      <c r="J28" s="132"/>
      <c r="K28" s="1271" t="s">
        <v>460</v>
      </c>
      <c r="L28" s="1271"/>
      <c r="M28" s="1271"/>
      <c r="N28" s="1271"/>
      <c r="O28" s="1271"/>
      <c r="P28" s="1271"/>
      <c r="AG28" s="82" t="s">
        <v>394</v>
      </c>
      <c r="AI28" s="122">
        <f>82/88</f>
        <v>0.9318181818181818</v>
      </c>
    </row>
    <row r="29" spans="2:16" ht="16.5">
      <c r="B29" s="1277"/>
      <c r="C29" s="1277"/>
      <c r="D29" s="1277"/>
      <c r="E29" s="1277"/>
      <c r="F29" s="132"/>
      <c r="G29" s="132"/>
      <c r="H29" s="132"/>
      <c r="I29" s="132"/>
      <c r="J29" s="132"/>
      <c r="K29" s="1271"/>
      <c r="L29" s="1271"/>
      <c r="M29" s="1271"/>
      <c r="N29" s="1271"/>
      <c r="O29" s="1271"/>
      <c r="P29" s="1271"/>
    </row>
    <row r="30" spans="2:16" ht="21" customHeight="1">
      <c r="B30" s="1277"/>
      <c r="C30" s="1277"/>
      <c r="D30" s="1277"/>
      <c r="E30" s="1277"/>
      <c r="F30" s="132"/>
      <c r="G30" s="132"/>
      <c r="H30" s="132"/>
      <c r="I30" s="132"/>
      <c r="J30" s="132"/>
      <c r="K30" s="1271"/>
      <c r="L30" s="1271"/>
      <c r="M30" s="1271"/>
      <c r="N30" s="1271"/>
      <c r="O30" s="1271"/>
      <c r="P30" s="1271"/>
    </row>
    <row r="32" spans="2:16" ht="16.5" customHeight="1">
      <c r="B32" s="1279" t="s">
        <v>397</v>
      </c>
      <c r="C32" s="1279"/>
      <c r="D32" s="1279"/>
      <c r="E32" s="133"/>
      <c r="F32" s="133"/>
      <c r="G32" s="133"/>
      <c r="H32" s="133"/>
      <c r="I32" s="133"/>
      <c r="J32" s="133"/>
      <c r="K32" s="1278" t="s">
        <v>461</v>
      </c>
      <c r="L32" s="1278"/>
      <c r="M32" s="1278"/>
      <c r="N32" s="1278"/>
      <c r="O32" s="1278"/>
      <c r="P32" s="1278"/>
    </row>
    <row r="33" ht="12.75" customHeight="1"/>
    <row r="34" spans="2:5" ht="15.75">
      <c r="B34" s="134"/>
      <c r="C34" s="134"/>
      <c r="D34" s="134"/>
      <c r="E34" s="134"/>
    </row>
    <row r="35" ht="15.75" hidden="1"/>
    <row r="36" spans="2:16" ht="15.75">
      <c r="B36" s="1274" t="s">
        <v>350</v>
      </c>
      <c r="C36" s="1274"/>
      <c r="D36" s="1274"/>
      <c r="E36" s="1274"/>
      <c r="F36" s="135"/>
      <c r="G36" s="135"/>
      <c r="H36" s="135"/>
      <c r="I36" s="135"/>
      <c r="K36" s="1275" t="s">
        <v>351</v>
      </c>
      <c r="L36" s="1275"/>
      <c r="M36" s="1275"/>
      <c r="N36" s="1275"/>
      <c r="O36" s="1275"/>
      <c r="P36" s="1275"/>
    </row>
    <row r="39" ht="15.75">
      <c r="A39" s="137" t="s">
        <v>49</v>
      </c>
    </row>
    <row r="40" spans="1:6" ht="15.75">
      <c r="A40" s="138"/>
      <c r="B40" s="139" t="s">
        <v>59</v>
      </c>
      <c r="C40" s="139"/>
      <c r="D40" s="139"/>
      <c r="E40" s="139"/>
      <c r="F40" s="139"/>
    </row>
    <row r="41" spans="1:14" ht="15.75" customHeight="1">
      <c r="A41" s="140" t="s">
        <v>27</v>
      </c>
      <c r="B41" s="1273" t="s">
        <v>63</v>
      </c>
      <c r="C41" s="1273"/>
      <c r="D41" s="1273"/>
      <c r="E41" s="1273"/>
      <c r="F41" s="1273"/>
      <c r="G41" s="140"/>
      <c r="H41" s="140"/>
      <c r="I41" s="140"/>
      <c r="J41" s="140"/>
      <c r="K41" s="140"/>
      <c r="L41" s="140"/>
      <c r="M41" s="140"/>
      <c r="N41" s="140"/>
    </row>
    <row r="42" spans="1:14" ht="15" customHeight="1">
      <c r="A42" s="140"/>
      <c r="B42" s="1272" t="s">
        <v>66</v>
      </c>
      <c r="C42" s="1272"/>
      <c r="D42" s="1272"/>
      <c r="E42" s="1272"/>
      <c r="F42" s="1272"/>
      <c r="G42" s="1272"/>
      <c r="H42" s="141"/>
      <c r="I42" s="141"/>
      <c r="J42" s="141"/>
      <c r="K42" s="140"/>
      <c r="L42" s="140"/>
      <c r="M42" s="140"/>
      <c r="N42" s="140"/>
    </row>
  </sheetData>
  <sheetProtection/>
  <mergeCells count="45">
    <mergeCell ref="D4:L4"/>
    <mergeCell ref="D7:F7"/>
    <mergeCell ref="K28:P30"/>
    <mergeCell ref="B42:G42"/>
    <mergeCell ref="B41:F41"/>
    <mergeCell ref="B36:E36"/>
    <mergeCell ref="K36:P36"/>
    <mergeCell ref="B28:E30"/>
    <mergeCell ref="K32:P32"/>
    <mergeCell ref="B32:D32"/>
    <mergeCell ref="A11:B11"/>
    <mergeCell ref="P8:P9"/>
    <mergeCell ref="O8:O9"/>
    <mergeCell ref="M1:P1"/>
    <mergeCell ref="M2:P2"/>
    <mergeCell ref="M3:P3"/>
    <mergeCell ref="H8:H9"/>
    <mergeCell ref="L8:L9"/>
    <mergeCell ref="M8:M9"/>
    <mergeCell ref="K6:M6"/>
    <mergeCell ref="K5:P5"/>
    <mergeCell ref="N7:N9"/>
    <mergeCell ref="N6:P6"/>
    <mergeCell ref="O7:P7"/>
    <mergeCell ref="L7:M7"/>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Y36"/>
  <sheetViews>
    <sheetView showZeros="0" view="pageBreakPreview" zoomScaleSheetLayoutView="100" zoomScalePageLayoutView="0" workbookViewId="0" topLeftCell="A1">
      <selection activeCell="T16" sqref="T16"/>
    </sheetView>
  </sheetViews>
  <sheetFormatPr defaultColWidth="9.00390625" defaultRowHeight="15.75"/>
  <cols>
    <col min="1" max="1" width="3.75390625" style="585" customWidth="1"/>
    <col min="2" max="2" width="22.375" style="585" customWidth="1"/>
    <col min="3" max="3" width="6.375" style="585" customWidth="1"/>
    <col min="4" max="4" width="6.00390625" style="585" customWidth="1"/>
    <col min="5" max="5" width="5.875" style="585" customWidth="1"/>
    <col min="6" max="7" width="6.625" style="585" customWidth="1"/>
    <col min="8" max="8" width="5.875" style="585" customWidth="1"/>
    <col min="9" max="9" width="6.00390625" style="585" customWidth="1"/>
    <col min="10" max="10" width="6.625" style="585" customWidth="1"/>
    <col min="11" max="11" width="6.00390625" style="585" customWidth="1"/>
    <col min="12" max="12" width="6.375" style="585" customWidth="1"/>
    <col min="13" max="14" width="6.75390625" style="585" customWidth="1"/>
    <col min="15" max="15" width="6.875" style="585" customWidth="1"/>
    <col min="16" max="16" width="6.125" style="585" customWidth="1"/>
    <col min="17" max="17" width="6.00390625" style="585" customWidth="1"/>
    <col min="18" max="18" width="6.125" style="585" customWidth="1"/>
    <col min="19" max="19" width="6.25390625" style="585" customWidth="1"/>
    <col min="20" max="20" width="6.125" style="585" customWidth="1"/>
    <col min="21" max="16384" width="9.00390625" style="585" customWidth="1"/>
  </cols>
  <sheetData>
    <row r="1" spans="1:20" ht="16.5">
      <c r="A1" s="695" t="s">
        <v>255</v>
      </c>
      <c r="B1" s="490"/>
      <c r="C1" s="490"/>
      <c r="D1" s="487"/>
      <c r="E1" s="1776" t="s">
        <v>256</v>
      </c>
      <c r="F1" s="1776"/>
      <c r="G1" s="1776"/>
      <c r="H1" s="1776"/>
      <c r="I1" s="1776"/>
      <c r="J1" s="1776"/>
      <c r="K1" s="1776"/>
      <c r="L1" s="1776"/>
      <c r="M1" s="1776"/>
      <c r="N1" s="1776"/>
      <c r="O1" s="584"/>
      <c r="P1" s="1730" t="s">
        <v>666</v>
      </c>
      <c r="Q1" s="1777"/>
      <c r="R1" s="1777"/>
      <c r="S1" s="1777"/>
      <c r="T1" s="1777"/>
    </row>
    <row r="2" spans="1:20" ht="15.75" customHeight="1">
      <c r="A2" s="1613" t="s">
        <v>342</v>
      </c>
      <c r="B2" s="1613"/>
      <c r="C2" s="1613"/>
      <c r="D2" s="1613"/>
      <c r="E2" s="1778" t="s">
        <v>257</v>
      </c>
      <c r="F2" s="1778"/>
      <c r="G2" s="1778"/>
      <c r="H2" s="1778"/>
      <c r="I2" s="1778"/>
      <c r="J2" s="1778"/>
      <c r="K2" s="1778"/>
      <c r="L2" s="1778"/>
      <c r="M2" s="1778"/>
      <c r="N2" s="1778"/>
      <c r="O2" s="587"/>
      <c r="P2" s="1732" t="str">
        <f>'Thong tin'!B4</f>
        <v>Cục THADS tỉnh Bình Thuận</v>
      </c>
      <c r="Q2" s="1732"/>
      <c r="R2" s="1732"/>
      <c r="S2" s="1732"/>
      <c r="T2" s="1732"/>
    </row>
    <row r="3" spans="1:20" ht="17.25">
      <c r="A3" s="1619" t="s">
        <v>343</v>
      </c>
      <c r="B3" s="1619"/>
      <c r="C3" s="1619"/>
      <c r="D3" s="1619"/>
      <c r="E3" s="1733" t="str">
        <f>'Thong tin'!B3</f>
        <v>12 tháng / năm 2016</v>
      </c>
      <c r="F3" s="1733"/>
      <c r="G3" s="1733"/>
      <c r="H3" s="1733"/>
      <c r="I3" s="1733"/>
      <c r="J3" s="1733"/>
      <c r="K3" s="1733"/>
      <c r="L3" s="1733"/>
      <c r="M3" s="1733"/>
      <c r="N3" s="1733"/>
      <c r="O3" s="587"/>
      <c r="P3" s="1775" t="s">
        <v>468</v>
      </c>
      <c r="Q3" s="1775"/>
      <c r="R3" s="1775"/>
      <c r="S3" s="1775"/>
      <c r="T3" s="1775"/>
    </row>
    <row r="4" spans="1:20" ht="18.75" customHeight="1">
      <c r="A4" s="489" t="s">
        <v>217</v>
      </c>
      <c r="B4" s="455"/>
      <c r="C4" s="455"/>
      <c r="D4" s="455"/>
      <c r="E4" s="698"/>
      <c r="F4" s="698"/>
      <c r="G4" s="698"/>
      <c r="H4" s="698"/>
      <c r="I4" s="698"/>
      <c r="J4" s="698"/>
      <c r="K4" s="698"/>
      <c r="L4" s="698"/>
      <c r="M4" s="698"/>
      <c r="N4" s="698"/>
      <c r="O4" s="589"/>
      <c r="P4" s="1732" t="s">
        <v>401</v>
      </c>
      <c r="Q4" s="1775"/>
      <c r="R4" s="1775"/>
      <c r="S4" s="1775"/>
      <c r="T4" s="1775"/>
    </row>
    <row r="5" spans="1:20" ht="29.25" customHeight="1">
      <c r="A5" s="1735" t="s">
        <v>72</v>
      </c>
      <c r="B5" s="1783"/>
      <c r="C5" s="1786" t="s">
        <v>2</v>
      </c>
      <c r="D5" s="1789" t="s">
        <v>258</v>
      </c>
      <c r="E5" s="1790"/>
      <c r="F5" s="1790"/>
      <c r="G5" s="1790"/>
      <c r="H5" s="1790"/>
      <c r="I5" s="1790"/>
      <c r="J5" s="1791"/>
      <c r="K5" s="1792" t="s">
        <v>259</v>
      </c>
      <c r="L5" s="1793"/>
      <c r="M5" s="1793"/>
      <c r="N5" s="1793"/>
      <c r="O5" s="1793"/>
      <c r="P5" s="1793"/>
      <c r="Q5" s="1793"/>
      <c r="R5" s="1793"/>
      <c r="S5" s="1793"/>
      <c r="T5" s="1794"/>
    </row>
    <row r="6" spans="1:20" ht="19.5" customHeight="1">
      <c r="A6" s="1737"/>
      <c r="B6" s="1784"/>
      <c r="C6" s="1787"/>
      <c r="D6" s="1790" t="s">
        <v>7</v>
      </c>
      <c r="E6" s="1790"/>
      <c r="F6" s="1790"/>
      <c r="G6" s="1790"/>
      <c r="H6" s="1790"/>
      <c r="I6" s="1790"/>
      <c r="J6" s="1791"/>
      <c r="K6" s="1795"/>
      <c r="L6" s="1796"/>
      <c r="M6" s="1796"/>
      <c r="N6" s="1796"/>
      <c r="O6" s="1796"/>
      <c r="P6" s="1796"/>
      <c r="Q6" s="1796"/>
      <c r="R6" s="1796"/>
      <c r="S6" s="1796"/>
      <c r="T6" s="1797"/>
    </row>
    <row r="7" spans="1:20" ht="33" customHeight="1">
      <c r="A7" s="1737"/>
      <c r="B7" s="1784"/>
      <c r="C7" s="1787"/>
      <c r="D7" s="1779" t="s">
        <v>260</v>
      </c>
      <c r="E7" s="1780"/>
      <c r="F7" s="1781" t="s">
        <v>261</v>
      </c>
      <c r="G7" s="1780"/>
      <c r="H7" s="1781" t="s">
        <v>262</v>
      </c>
      <c r="I7" s="1780"/>
      <c r="J7" s="1781" t="s">
        <v>263</v>
      </c>
      <c r="K7" s="1782" t="s">
        <v>264</v>
      </c>
      <c r="L7" s="1782"/>
      <c r="M7" s="1782"/>
      <c r="N7" s="1782" t="s">
        <v>265</v>
      </c>
      <c r="O7" s="1782"/>
      <c r="P7" s="1782"/>
      <c r="Q7" s="1781" t="s">
        <v>266</v>
      </c>
      <c r="R7" s="1781" t="s">
        <v>267</v>
      </c>
      <c r="S7" s="1781" t="s">
        <v>268</v>
      </c>
      <c r="T7" s="1781" t="s">
        <v>269</v>
      </c>
    </row>
    <row r="8" spans="1:20" ht="18.75" customHeight="1">
      <c r="A8" s="1737"/>
      <c r="B8" s="1784"/>
      <c r="C8" s="1787"/>
      <c r="D8" s="1779" t="s">
        <v>270</v>
      </c>
      <c r="E8" s="1781" t="s">
        <v>271</v>
      </c>
      <c r="F8" s="1781" t="s">
        <v>270</v>
      </c>
      <c r="G8" s="1781" t="s">
        <v>271</v>
      </c>
      <c r="H8" s="1781" t="s">
        <v>270</v>
      </c>
      <c r="I8" s="1781" t="s">
        <v>272</v>
      </c>
      <c r="J8" s="1781"/>
      <c r="K8" s="1782"/>
      <c r="L8" s="1782"/>
      <c r="M8" s="1782"/>
      <c r="N8" s="1782"/>
      <c r="O8" s="1782"/>
      <c r="P8" s="1782"/>
      <c r="Q8" s="1781"/>
      <c r="R8" s="1781"/>
      <c r="S8" s="1781"/>
      <c r="T8" s="1781"/>
    </row>
    <row r="9" spans="1:20" ht="23.25" customHeight="1">
      <c r="A9" s="1765"/>
      <c r="B9" s="1785"/>
      <c r="C9" s="1788"/>
      <c r="D9" s="1779"/>
      <c r="E9" s="1781"/>
      <c r="F9" s="1781"/>
      <c r="G9" s="1781"/>
      <c r="H9" s="1781"/>
      <c r="I9" s="1781"/>
      <c r="J9" s="1781"/>
      <c r="K9" s="622" t="s">
        <v>273</v>
      </c>
      <c r="L9" s="622" t="s">
        <v>248</v>
      </c>
      <c r="M9" s="622" t="s">
        <v>274</v>
      </c>
      <c r="N9" s="622" t="s">
        <v>273</v>
      </c>
      <c r="O9" s="622" t="s">
        <v>275</v>
      </c>
      <c r="P9" s="622" t="s">
        <v>276</v>
      </c>
      <c r="Q9" s="1781"/>
      <c r="R9" s="1781"/>
      <c r="S9" s="1781"/>
      <c r="T9" s="1781"/>
    </row>
    <row r="10" spans="1:20" s="592" customFormat="1" ht="17.25" customHeight="1">
      <c r="A10" s="1801" t="s">
        <v>6</v>
      </c>
      <c r="B10" s="1802"/>
      <c r="C10" s="623">
        <v>1</v>
      </c>
      <c r="D10" s="624">
        <v>2</v>
      </c>
      <c r="E10" s="624">
        <v>3</v>
      </c>
      <c r="F10" s="624">
        <v>4</v>
      </c>
      <c r="G10" s="624">
        <v>5</v>
      </c>
      <c r="H10" s="624">
        <v>6</v>
      </c>
      <c r="I10" s="624">
        <v>7</v>
      </c>
      <c r="J10" s="624">
        <v>8</v>
      </c>
      <c r="K10" s="624">
        <v>9</v>
      </c>
      <c r="L10" s="624">
        <v>10</v>
      </c>
      <c r="M10" s="624">
        <v>11</v>
      </c>
      <c r="N10" s="624">
        <v>12</v>
      </c>
      <c r="O10" s="624">
        <v>13</v>
      </c>
      <c r="P10" s="624">
        <v>14</v>
      </c>
      <c r="Q10" s="624">
        <v>15</v>
      </c>
      <c r="R10" s="624">
        <v>16</v>
      </c>
      <c r="S10" s="624">
        <v>17</v>
      </c>
      <c r="T10" s="624">
        <v>18</v>
      </c>
    </row>
    <row r="11" spans="1:20" s="592" customFormat="1" ht="22.5" customHeight="1">
      <c r="A11" s="1798" t="s">
        <v>277</v>
      </c>
      <c r="B11" s="1799"/>
      <c r="C11" s="756">
        <f>C12+C13</f>
        <v>131</v>
      </c>
      <c r="D11" s="757">
        <f aca="true" t="shared" si="0" ref="D11:T11">D12+D13</f>
        <v>1</v>
      </c>
      <c r="E11" s="757">
        <f t="shared" si="0"/>
        <v>0</v>
      </c>
      <c r="F11" s="757">
        <f t="shared" si="0"/>
        <v>100</v>
      </c>
      <c r="G11" s="757">
        <f t="shared" si="0"/>
        <v>22</v>
      </c>
      <c r="H11" s="757">
        <f t="shared" si="0"/>
        <v>1</v>
      </c>
      <c r="I11" s="757">
        <f t="shared" si="0"/>
        <v>3</v>
      </c>
      <c r="J11" s="757">
        <f t="shared" si="0"/>
        <v>4</v>
      </c>
      <c r="K11" s="757">
        <f t="shared" si="0"/>
        <v>0</v>
      </c>
      <c r="L11" s="757">
        <f t="shared" si="0"/>
        <v>14</v>
      </c>
      <c r="M11" s="757">
        <f t="shared" si="0"/>
        <v>35</v>
      </c>
      <c r="N11" s="757">
        <f t="shared" si="0"/>
        <v>18</v>
      </c>
      <c r="O11" s="757">
        <f t="shared" si="0"/>
        <v>29</v>
      </c>
      <c r="P11" s="757">
        <f t="shared" si="0"/>
        <v>48</v>
      </c>
      <c r="Q11" s="757">
        <f t="shared" si="0"/>
        <v>59</v>
      </c>
      <c r="R11" s="757">
        <f t="shared" si="0"/>
        <v>4</v>
      </c>
      <c r="S11" s="757">
        <f t="shared" si="0"/>
        <v>25</v>
      </c>
      <c r="T11" s="757">
        <f t="shared" si="0"/>
        <v>43</v>
      </c>
    </row>
    <row r="12" spans="1:20" s="592" customFormat="1" ht="20.25" customHeight="1">
      <c r="A12" s="206" t="s">
        <v>0</v>
      </c>
      <c r="B12" s="207" t="s">
        <v>758</v>
      </c>
      <c r="C12" s="1077">
        <f>D12+E12+F12+G12+H12+I12+J12</f>
        <v>26</v>
      </c>
      <c r="D12" s="742">
        <v>1</v>
      </c>
      <c r="E12" s="742">
        <v>0</v>
      </c>
      <c r="F12" s="742">
        <v>19</v>
      </c>
      <c r="G12" s="742">
        <v>4</v>
      </c>
      <c r="H12" s="742">
        <v>0</v>
      </c>
      <c r="I12" s="1078">
        <v>1</v>
      </c>
      <c r="J12" s="1078">
        <v>1</v>
      </c>
      <c r="K12" s="1078">
        <v>0</v>
      </c>
      <c r="L12" s="1078">
        <v>8</v>
      </c>
      <c r="M12" s="742">
        <v>10</v>
      </c>
      <c r="N12" s="742">
        <v>11</v>
      </c>
      <c r="O12" s="742">
        <v>5</v>
      </c>
      <c r="P12" s="742">
        <v>11</v>
      </c>
      <c r="Q12" s="742">
        <v>15</v>
      </c>
      <c r="R12" s="742">
        <v>0</v>
      </c>
      <c r="S12" s="742">
        <v>3</v>
      </c>
      <c r="T12" s="742">
        <v>8</v>
      </c>
    </row>
    <row r="13" spans="1:20" s="592" customFormat="1" ht="21" customHeight="1">
      <c r="A13" s="725" t="s">
        <v>1</v>
      </c>
      <c r="B13" s="743" t="s">
        <v>19</v>
      </c>
      <c r="C13" s="1077">
        <f>C14+C15+C16+C17+C18+C19+C20+C21+C22+C23</f>
        <v>105</v>
      </c>
      <c r="D13" s="744">
        <f aca="true" t="shared" si="1" ref="D13:T13">D14+D15+D16+D17+D18+D19+D20+D21+D22+D23</f>
        <v>0</v>
      </c>
      <c r="E13" s="744">
        <f t="shared" si="1"/>
        <v>0</v>
      </c>
      <c r="F13" s="744">
        <f t="shared" si="1"/>
        <v>81</v>
      </c>
      <c r="G13" s="744">
        <f t="shared" si="1"/>
        <v>18</v>
      </c>
      <c r="H13" s="744">
        <f t="shared" si="1"/>
        <v>1</v>
      </c>
      <c r="I13" s="744">
        <f t="shared" si="1"/>
        <v>2</v>
      </c>
      <c r="J13" s="744">
        <f t="shared" si="1"/>
        <v>3</v>
      </c>
      <c r="K13" s="744">
        <f t="shared" si="1"/>
        <v>0</v>
      </c>
      <c r="L13" s="744">
        <f t="shared" si="1"/>
        <v>6</v>
      </c>
      <c r="M13" s="744">
        <f t="shared" si="1"/>
        <v>25</v>
      </c>
      <c r="N13" s="744">
        <f t="shared" si="1"/>
        <v>7</v>
      </c>
      <c r="O13" s="744">
        <f t="shared" si="1"/>
        <v>24</v>
      </c>
      <c r="P13" s="744">
        <f t="shared" si="1"/>
        <v>37</v>
      </c>
      <c r="Q13" s="744">
        <f t="shared" si="1"/>
        <v>44</v>
      </c>
      <c r="R13" s="744">
        <f t="shared" si="1"/>
        <v>4</v>
      </c>
      <c r="S13" s="744">
        <f t="shared" si="1"/>
        <v>22</v>
      </c>
      <c r="T13" s="744">
        <f t="shared" si="1"/>
        <v>35</v>
      </c>
    </row>
    <row r="14" spans="1:20" s="592" customFormat="1" ht="18.75" customHeight="1">
      <c r="A14" s="754" t="s">
        <v>52</v>
      </c>
      <c r="B14" s="745" t="s">
        <v>748</v>
      </c>
      <c r="C14" s="1077">
        <f>D14+E14+F14+G14+H14+I14+J14</f>
        <v>17</v>
      </c>
      <c r="D14" s="742">
        <v>0</v>
      </c>
      <c r="E14" s="742">
        <v>0</v>
      </c>
      <c r="F14" s="742">
        <v>15</v>
      </c>
      <c r="G14" s="742">
        <v>2</v>
      </c>
      <c r="H14" s="742">
        <v>0</v>
      </c>
      <c r="I14" s="1078">
        <v>0</v>
      </c>
      <c r="J14" s="1078">
        <v>0</v>
      </c>
      <c r="K14" s="1078">
        <v>0</v>
      </c>
      <c r="L14" s="1078">
        <v>1</v>
      </c>
      <c r="M14" s="742">
        <v>4</v>
      </c>
      <c r="N14" s="742">
        <v>1</v>
      </c>
      <c r="O14" s="742">
        <v>2</v>
      </c>
      <c r="P14" s="742">
        <v>3</v>
      </c>
      <c r="Q14" s="742">
        <v>10</v>
      </c>
      <c r="R14" s="742">
        <v>2</v>
      </c>
      <c r="S14" s="742">
        <v>3</v>
      </c>
      <c r="T14" s="742">
        <v>2</v>
      </c>
    </row>
    <row r="15" spans="1:20" s="592" customFormat="1" ht="18.75" customHeight="1">
      <c r="A15" s="754" t="s">
        <v>53</v>
      </c>
      <c r="B15" s="745" t="s">
        <v>749</v>
      </c>
      <c r="C15" s="1077">
        <f aca="true" t="shared" si="2" ref="C15:C23">D15+E15+F15+G15+H15+I15+J15</f>
        <v>11</v>
      </c>
      <c r="D15" s="742">
        <v>0</v>
      </c>
      <c r="E15" s="742">
        <v>0</v>
      </c>
      <c r="F15" s="742">
        <v>8</v>
      </c>
      <c r="G15" s="742">
        <v>2</v>
      </c>
      <c r="H15" s="742">
        <v>0</v>
      </c>
      <c r="I15" s="1078">
        <v>1</v>
      </c>
      <c r="J15" s="1078">
        <v>0</v>
      </c>
      <c r="K15" s="1078">
        <v>0</v>
      </c>
      <c r="L15" s="1078">
        <v>2</v>
      </c>
      <c r="M15" s="742">
        <v>0</v>
      </c>
      <c r="N15" s="742">
        <v>1</v>
      </c>
      <c r="O15" s="742">
        <v>2</v>
      </c>
      <c r="P15" s="742">
        <v>7</v>
      </c>
      <c r="Q15" s="742">
        <v>4</v>
      </c>
      <c r="R15" s="742">
        <v>0</v>
      </c>
      <c r="S15" s="742">
        <v>3</v>
      </c>
      <c r="T15" s="742">
        <v>4</v>
      </c>
    </row>
    <row r="16" spans="1:20" s="592" customFormat="1" ht="19.5" customHeight="1">
      <c r="A16" s="754" t="s">
        <v>58</v>
      </c>
      <c r="B16" s="745" t="s">
        <v>750</v>
      </c>
      <c r="C16" s="1077">
        <f t="shared" si="2"/>
        <v>12</v>
      </c>
      <c r="D16" s="742">
        <v>0</v>
      </c>
      <c r="E16" s="742">
        <v>0</v>
      </c>
      <c r="F16" s="742">
        <v>9</v>
      </c>
      <c r="G16" s="742">
        <v>3</v>
      </c>
      <c r="H16" s="742">
        <v>0</v>
      </c>
      <c r="I16" s="1078">
        <v>0</v>
      </c>
      <c r="J16" s="1078">
        <v>0</v>
      </c>
      <c r="K16" s="1078">
        <v>0</v>
      </c>
      <c r="L16" s="1078">
        <v>0</v>
      </c>
      <c r="M16" s="742">
        <v>2</v>
      </c>
      <c r="N16" s="742">
        <v>0</v>
      </c>
      <c r="O16" s="742">
        <v>4</v>
      </c>
      <c r="P16" s="742">
        <v>3</v>
      </c>
      <c r="Q16" s="742">
        <v>4</v>
      </c>
      <c r="R16" s="742">
        <v>0</v>
      </c>
      <c r="S16" s="742">
        <v>1</v>
      </c>
      <c r="T16" s="742">
        <v>7</v>
      </c>
    </row>
    <row r="17" spans="1:20" s="592" customFormat="1" ht="18.75" customHeight="1">
      <c r="A17" s="754" t="s">
        <v>73</v>
      </c>
      <c r="B17" s="745" t="s">
        <v>751</v>
      </c>
      <c r="C17" s="1077">
        <f t="shared" si="2"/>
        <v>11</v>
      </c>
      <c r="D17" s="742">
        <v>0</v>
      </c>
      <c r="E17" s="742">
        <v>0</v>
      </c>
      <c r="F17" s="742">
        <v>7</v>
      </c>
      <c r="G17" s="742">
        <v>3</v>
      </c>
      <c r="H17" s="742">
        <v>0</v>
      </c>
      <c r="I17" s="1078">
        <v>0</v>
      </c>
      <c r="J17" s="1078">
        <v>1</v>
      </c>
      <c r="K17" s="1078">
        <v>0</v>
      </c>
      <c r="L17" s="1078">
        <v>0</v>
      </c>
      <c r="M17" s="742">
        <v>4</v>
      </c>
      <c r="N17" s="742">
        <v>1</v>
      </c>
      <c r="O17" s="742">
        <v>2</v>
      </c>
      <c r="P17" s="742">
        <v>3</v>
      </c>
      <c r="Q17" s="742">
        <v>6</v>
      </c>
      <c r="R17" s="742">
        <v>0</v>
      </c>
      <c r="S17" s="742">
        <v>1</v>
      </c>
      <c r="T17" s="742">
        <v>4</v>
      </c>
    </row>
    <row r="18" spans="1:20" s="592" customFormat="1" ht="19.5" customHeight="1">
      <c r="A18" s="754" t="s">
        <v>74</v>
      </c>
      <c r="B18" s="745" t="s">
        <v>752</v>
      </c>
      <c r="C18" s="1077">
        <f t="shared" si="2"/>
        <v>11</v>
      </c>
      <c r="D18" s="742">
        <v>0</v>
      </c>
      <c r="E18" s="742">
        <v>0</v>
      </c>
      <c r="F18" s="742">
        <v>8</v>
      </c>
      <c r="G18" s="742">
        <v>2</v>
      </c>
      <c r="H18" s="742">
        <v>0</v>
      </c>
      <c r="I18" s="1078">
        <v>0</v>
      </c>
      <c r="J18" s="1078">
        <v>1</v>
      </c>
      <c r="K18" s="1078">
        <v>0</v>
      </c>
      <c r="L18" s="1078">
        <v>0</v>
      </c>
      <c r="M18" s="742">
        <v>2</v>
      </c>
      <c r="N18" s="742">
        <v>0</v>
      </c>
      <c r="O18" s="742">
        <v>4</v>
      </c>
      <c r="P18" s="742">
        <v>2</v>
      </c>
      <c r="Q18" s="742">
        <v>4</v>
      </c>
      <c r="R18" s="742">
        <v>1</v>
      </c>
      <c r="S18" s="742">
        <v>1</v>
      </c>
      <c r="T18" s="742">
        <v>5</v>
      </c>
    </row>
    <row r="19" spans="1:20" s="592" customFormat="1" ht="19.5" customHeight="1">
      <c r="A19" s="754" t="s">
        <v>75</v>
      </c>
      <c r="B19" s="745" t="s">
        <v>753</v>
      </c>
      <c r="C19" s="1077">
        <f t="shared" si="2"/>
        <v>8</v>
      </c>
      <c r="D19" s="742">
        <v>0</v>
      </c>
      <c r="E19" s="742">
        <v>0</v>
      </c>
      <c r="F19" s="742">
        <v>5</v>
      </c>
      <c r="G19" s="742">
        <v>1</v>
      </c>
      <c r="H19" s="742">
        <v>1</v>
      </c>
      <c r="I19" s="1078">
        <v>1</v>
      </c>
      <c r="J19" s="1078">
        <v>0</v>
      </c>
      <c r="K19" s="1078">
        <v>0</v>
      </c>
      <c r="L19" s="1078">
        <v>0</v>
      </c>
      <c r="M19" s="742">
        <v>1</v>
      </c>
      <c r="N19" s="742">
        <v>0</v>
      </c>
      <c r="O19" s="742">
        <v>1</v>
      </c>
      <c r="P19" s="742">
        <v>0</v>
      </c>
      <c r="Q19" s="742">
        <v>2</v>
      </c>
      <c r="R19" s="742">
        <v>1</v>
      </c>
      <c r="S19" s="742">
        <v>3</v>
      </c>
      <c r="T19" s="742">
        <v>2</v>
      </c>
    </row>
    <row r="20" spans="1:20" s="592" customFormat="1" ht="18.75" customHeight="1">
      <c r="A20" s="754" t="s">
        <v>76</v>
      </c>
      <c r="B20" s="745" t="s">
        <v>754</v>
      </c>
      <c r="C20" s="1077">
        <f t="shared" si="2"/>
        <v>12</v>
      </c>
      <c r="D20" s="742">
        <v>0</v>
      </c>
      <c r="E20" s="742">
        <v>0</v>
      </c>
      <c r="F20" s="742">
        <v>10</v>
      </c>
      <c r="G20" s="742">
        <v>2</v>
      </c>
      <c r="H20" s="742">
        <v>0</v>
      </c>
      <c r="I20" s="1078">
        <v>0</v>
      </c>
      <c r="J20" s="1078">
        <v>0</v>
      </c>
      <c r="K20" s="1078">
        <v>0</v>
      </c>
      <c r="L20" s="1078">
        <v>2</v>
      </c>
      <c r="M20" s="742">
        <v>4</v>
      </c>
      <c r="N20" s="742">
        <v>2</v>
      </c>
      <c r="O20" s="742">
        <v>1</v>
      </c>
      <c r="P20" s="742">
        <v>8</v>
      </c>
      <c r="Q20" s="742">
        <v>5</v>
      </c>
      <c r="R20" s="742">
        <v>0</v>
      </c>
      <c r="S20" s="742">
        <v>5</v>
      </c>
      <c r="T20" s="742">
        <v>2</v>
      </c>
    </row>
    <row r="21" spans="1:20" s="592" customFormat="1" ht="19.5" customHeight="1">
      <c r="A21" s="754" t="s">
        <v>77</v>
      </c>
      <c r="B21" s="745" t="s">
        <v>755</v>
      </c>
      <c r="C21" s="1077">
        <f t="shared" si="2"/>
        <v>9</v>
      </c>
      <c r="D21" s="742">
        <v>0</v>
      </c>
      <c r="E21" s="742">
        <v>0</v>
      </c>
      <c r="F21" s="742">
        <v>8</v>
      </c>
      <c r="G21" s="742">
        <v>1</v>
      </c>
      <c r="H21" s="742">
        <v>0</v>
      </c>
      <c r="I21" s="1078">
        <v>0</v>
      </c>
      <c r="J21" s="1078">
        <v>0</v>
      </c>
      <c r="K21" s="1078">
        <v>0</v>
      </c>
      <c r="L21" s="1078">
        <v>0</v>
      </c>
      <c r="M21" s="742">
        <v>2</v>
      </c>
      <c r="N21" s="742">
        <v>1</v>
      </c>
      <c r="O21" s="742">
        <v>3</v>
      </c>
      <c r="P21" s="742">
        <v>2</v>
      </c>
      <c r="Q21" s="742">
        <v>4</v>
      </c>
      <c r="R21" s="742">
        <v>0</v>
      </c>
      <c r="S21" s="742">
        <v>1</v>
      </c>
      <c r="T21" s="742">
        <v>4</v>
      </c>
    </row>
    <row r="22" spans="1:20" s="592" customFormat="1" ht="18.75" customHeight="1">
      <c r="A22" s="754" t="s">
        <v>78</v>
      </c>
      <c r="B22" s="745" t="s">
        <v>756</v>
      </c>
      <c r="C22" s="1077">
        <f t="shared" si="2"/>
        <v>9</v>
      </c>
      <c r="D22" s="742">
        <v>0</v>
      </c>
      <c r="E22" s="742">
        <v>0</v>
      </c>
      <c r="F22" s="742">
        <v>7</v>
      </c>
      <c r="G22" s="742">
        <v>2</v>
      </c>
      <c r="H22" s="742">
        <v>0</v>
      </c>
      <c r="I22" s="1078">
        <v>0</v>
      </c>
      <c r="J22" s="1078">
        <v>0</v>
      </c>
      <c r="K22" s="1078">
        <v>0</v>
      </c>
      <c r="L22" s="1078">
        <v>0</v>
      </c>
      <c r="M22" s="742">
        <v>4</v>
      </c>
      <c r="N22" s="742">
        <v>0</v>
      </c>
      <c r="O22" s="742">
        <v>3</v>
      </c>
      <c r="P22" s="742">
        <v>5</v>
      </c>
      <c r="Q22" s="742">
        <v>3</v>
      </c>
      <c r="R22" s="742">
        <v>0</v>
      </c>
      <c r="S22" s="742">
        <v>3</v>
      </c>
      <c r="T22" s="742">
        <v>3</v>
      </c>
    </row>
    <row r="23" spans="1:25" s="592" customFormat="1" ht="20.25" customHeight="1" thickBot="1">
      <c r="A23" s="755" t="s">
        <v>101</v>
      </c>
      <c r="B23" s="1005" t="s">
        <v>757</v>
      </c>
      <c r="C23" s="1079">
        <f t="shared" si="2"/>
        <v>5</v>
      </c>
      <c r="D23" s="747">
        <v>0</v>
      </c>
      <c r="E23" s="747">
        <v>0</v>
      </c>
      <c r="F23" s="747">
        <v>4</v>
      </c>
      <c r="G23" s="747">
        <v>0</v>
      </c>
      <c r="H23" s="747">
        <v>0</v>
      </c>
      <c r="I23" s="1080">
        <v>0</v>
      </c>
      <c r="J23" s="1080">
        <v>1</v>
      </c>
      <c r="K23" s="1080">
        <v>0</v>
      </c>
      <c r="L23" s="1080">
        <v>1</v>
      </c>
      <c r="M23" s="747">
        <v>2</v>
      </c>
      <c r="N23" s="747">
        <v>1</v>
      </c>
      <c r="O23" s="747">
        <v>2</v>
      </c>
      <c r="P23" s="747">
        <v>4</v>
      </c>
      <c r="Q23" s="747">
        <v>2</v>
      </c>
      <c r="R23" s="747">
        <v>0</v>
      </c>
      <c r="S23" s="747">
        <v>1</v>
      </c>
      <c r="T23" s="747">
        <v>2</v>
      </c>
      <c r="Y23" s="598"/>
    </row>
    <row r="24" spans="1:17" ht="6.75" customHeight="1" thickTop="1">
      <c r="A24" s="604"/>
      <c r="B24" s="604"/>
      <c r="C24" s="604"/>
      <c r="D24" s="604"/>
      <c r="E24" s="604"/>
      <c r="F24" s="604"/>
      <c r="G24" s="604"/>
      <c r="H24" s="604"/>
      <c r="I24" s="604"/>
      <c r="J24" s="604"/>
      <c r="K24" s="604"/>
      <c r="L24" s="604"/>
      <c r="M24" s="604"/>
      <c r="N24" s="604"/>
      <c r="O24" s="604"/>
      <c r="P24" s="604"/>
      <c r="Q24" s="604"/>
    </row>
    <row r="25" spans="1:20" ht="15.75" customHeight="1">
      <c r="A25" s="599"/>
      <c r="B25" s="1720"/>
      <c r="C25" s="1720"/>
      <c r="D25" s="1720"/>
      <c r="E25" s="1720"/>
      <c r="F25" s="1720"/>
      <c r="G25" s="945"/>
      <c r="H25" s="945"/>
      <c r="I25" s="945"/>
      <c r="J25" s="945"/>
      <c r="K25" s="945"/>
      <c r="L25" s="676"/>
      <c r="M25" s="1770" t="str">
        <f>'Thong tin'!B9</f>
        <v>Bình Thuận, ngày 04 tháng 10 năm 2016</v>
      </c>
      <c r="N25" s="1770"/>
      <c r="O25" s="1770"/>
      <c r="P25" s="1770"/>
      <c r="Q25" s="1770"/>
      <c r="R25" s="1770"/>
      <c r="S25" s="1770"/>
      <c r="T25" s="1770"/>
    </row>
    <row r="26" spans="1:20" ht="25.5" customHeight="1">
      <c r="A26" s="599"/>
      <c r="B26" s="1722" t="s">
        <v>250</v>
      </c>
      <c r="C26" s="1722"/>
      <c r="D26" s="1722"/>
      <c r="E26" s="1722"/>
      <c r="F26" s="947"/>
      <c r="G26" s="947"/>
      <c r="H26" s="947"/>
      <c r="I26" s="947"/>
      <c r="J26" s="947"/>
      <c r="K26" s="947"/>
      <c r="L26" s="676"/>
      <c r="M26" s="1723" t="str">
        <f>'Thong tin'!B7</f>
        <v>KT. CỤC TRƯỞNG</v>
      </c>
      <c r="N26" s="1723"/>
      <c r="O26" s="1723"/>
      <c r="P26" s="1723"/>
      <c r="Q26" s="1723"/>
      <c r="R26" s="1723"/>
      <c r="S26" s="1723"/>
      <c r="T26" s="1723"/>
    </row>
    <row r="27" spans="1:20" ht="22.5" customHeight="1">
      <c r="A27" s="604"/>
      <c r="B27" s="1726"/>
      <c r="C27" s="1726"/>
      <c r="D27" s="1726"/>
      <c r="E27" s="1726"/>
      <c r="F27" s="950"/>
      <c r="G27" s="950"/>
      <c r="H27" s="950"/>
      <c r="I27" s="950"/>
      <c r="J27" s="950"/>
      <c r="K27" s="950"/>
      <c r="L27" s="950"/>
      <c r="M27" s="1723" t="str">
        <f>'Thong tin'!B8</f>
        <v>PHÓ CỤC TRƯỞNG</v>
      </c>
      <c r="N27" s="1723"/>
      <c r="O27" s="1723"/>
      <c r="P27" s="1723"/>
      <c r="Q27" s="1723"/>
      <c r="R27" s="1723"/>
      <c r="S27" s="1723"/>
      <c r="T27" s="1723"/>
    </row>
    <row r="28" spans="1:20" ht="16.5">
      <c r="A28" s="604"/>
      <c r="B28" s="950"/>
      <c r="C28" s="950"/>
      <c r="D28" s="950"/>
      <c r="E28" s="950"/>
      <c r="F28" s="950"/>
      <c r="G28" s="950"/>
      <c r="H28" s="950"/>
      <c r="I28" s="950"/>
      <c r="J28" s="950"/>
      <c r="K28" s="950"/>
      <c r="L28" s="950"/>
      <c r="M28" s="950"/>
      <c r="N28" s="950"/>
      <c r="O28" s="950"/>
      <c r="P28" s="950"/>
      <c r="Q28" s="950"/>
      <c r="R28" s="676"/>
      <c r="S28" s="676"/>
      <c r="T28" s="676"/>
    </row>
    <row r="29" spans="2:20" ht="16.5">
      <c r="B29" s="1800"/>
      <c r="C29" s="1800"/>
      <c r="D29" s="1800"/>
      <c r="E29" s="1800"/>
      <c r="F29" s="1800"/>
      <c r="G29" s="989"/>
      <c r="H29" s="989"/>
      <c r="I29" s="989"/>
      <c r="J29" s="989"/>
      <c r="K29" s="989"/>
      <c r="L29" s="989"/>
      <c r="M29" s="989"/>
      <c r="N29" s="1800"/>
      <c r="O29" s="1800"/>
      <c r="P29" s="1800"/>
      <c r="Q29" s="1800"/>
      <c r="R29" s="1800"/>
      <c r="S29" s="1800"/>
      <c r="T29" s="676"/>
    </row>
    <row r="30" spans="2:20" ht="16.5">
      <c r="B30" s="676"/>
      <c r="C30" s="676"/>
      <c r="D30" s="676"/>
      <c r="E30" s="676"/>
      <c r="F30" s="676"/>
      <c r="G30" s="676"/>
      <c r="H30" s="676"/>
      <c r="I30" s="676"/>
      <c r="J30" s="676"/>
      <c r="K30" s="676"/>
      <c r="L30" s="676"/>
      <c r="M30" s="676"/>
      <c r="N30" s="676"/>
      <c r="O30" s="676"/>
      <c r="P30" s="676"/>
      <c r="Q30" s="676"/>
      <c r="R30" s="676"/>
      <c r="S30" s="676"/>
      <c r="T30" s="676"/>
    </row>
    <row r="31" spans="2:20" ht="16.5">
      <c r="B31" s="1651" t="str">
        <f>'Thong tin'!B5</f>
        <v>Trần Quốc Bảo</v>
      </c>
      <c r="C31" s="1651"/>
      <c r="D31" s="1651"/>
      <c r="E31" s="1651"/>
      <c r="F31" s="675"/>
      <c r="G31" s="675"/>
      <c r="H31" s="675"/>
      <c r="I31" s="676"/>
      <c r="J31" s="676"/>
      <c r="K31" s="676"/>
      <c r="L31" s="676"/>
      <c r="M31" s="1651" t="str">
        <f>'Thong tin'!B6</f>
        <v>Trần Nam</v>
      </c>
      <c r="N31" s="1651"/>
      <c r="O31" s="1651"/>
      <c r="P31" s="1651"/>
      <c r="Q31" s="1651"/>
      <c r="R31" s="1651"/>
      <c r="S31" s="1651"/>
      <c r="T31" s="1651"/>
    </row>
    <row r="32" spans="2:20" ht="18.75">
      <c r="B32" s="526"/>
      <c r="C32" s="526"/>
      <c r="D32" s="526"/>
      <c r="E32" s="526"/>
      <c r="F32" s="605"/>
      <c r="G32" s="605"/>
      <c r="H32" s="605"/>
      <c r="I32" s="571"/>
      <c r="J32" s="571"/>
      <c r="K32" s="571"/>
      <c r="L32" s="571"/>
      <c r="M32" s="524"/>
      <c r="N32" s="524"/>
      <c r="O32" s="524"/>
      <c r="P32" s="524"/>
      <c r="Q32" s="524"/>
      <c r="R32" s="524"/>
      <c r="S32" s="524"/>
      <c r="T32" s="524"/>
    </row>
    <row r="33" spans="2:20" ht="18.75">
      <c r="B33" s="526"/>
      <c r="C33" s="526"/>
      <c r="D33" s="526"/>
      <c r="E33" s="526"/>
      <c r="F33" s="605"/>
      <c r="G33" s="605"/>
      <c r="H33" s="605"/>
      <c r="I33" s="571"/>
      <c r="J33" s="571"/>
      <c r="K33" s="571"/>
      <c r="L33" s="571"/>
      <c r="M33" s="524"/>
      <c r="N33" s="524"/>
      <c r="O33" s="524"/>
      <c r="P33" s="524"/>
      <c r="Q33" s="524"/>
      <c r="R33" s="524"/>
      <c r="S33" s="524"/>
      <c r="T33" s="524"/>
    </row>
    <row r="34" s="626" customFormat="1" ht="15" hidden="1">
      <c r="A34" s="625" t="s">
        <v>226</v>
      </c>
    </row>
    <row r="35" spans="2:8" s="627" customFormat="1" ht="15" hidden="1">
      <c r="B35" s="628" t="s">
        <v>278</v>
      </c>
      <c r="C35" s="628"/>
      <c r="D35" s="628"/>
      <c r="E35" s="628"/>
      <c r="F35" s="628"/>
      <c r="G35" s="628"/>
      <c r="H35" s="628"/>
    </row>
    <row r="36" spans="2:8" s="629" customFormat="1" ht="15" hidden="1">
      <c r="B36" s="628" t="s">
        <v>279</v>
      </c>
      <c r="C36" s="576"/>
      <c r="D36" s="576"/>
      <c r="E36" s="576"/>
      <c r="F36" s="576"/>
      <c r="G36" s="576"/>
      <c r="H36" s="576"/>
    </row>
    <row r="37" ht="12.75" hidden="1"/>
    <row r="38" ht="12.75" hidden="1"/>
    <row r="39" ht="12.75" hidden="1"/>
    <row r="40" ht="12.75" hidden="1"/>
    <row r="41" ht="12.75" hidden="1"/>
  </sheetData>
  <sheetProtection/>
  <mergeCells count="42">
    <mergeCell ref="N7:P8"/>
    <mergeCell ref="B31:E31"/>
    <mergeCell ref="M31:T31"/>
    <mergeCell ref="B26:E26"/>
    <mergeCell ref="M26:T26"/>
    <mergeCell ref="B27:E27"/>
    <mergeCell ref="M27:T27"/>
    <mergeCell ref="B29:F29"/>
    <mergeCell ref="N29:S29"/>
    <mergeCell ref="A10:B10"/>
    <mergeCell ref="K5:T6"/>
    <mergeCell ref="D6:J6"/>
    <mergeCell ref="A11:B11"/>
    <mergeCell ref="B25:F25"/>
    <mergeCell ref="M25:T25"/>
    <mergeCell ref="D8:D9"/>
    <mergeCell ref="E8:E9"/>
    <mergeCell ref="F8:F9"/>
    <mergeCell ref="G8:G9"/>
    <mergeCell ref="H8:H9"/>
    <mergeCell ref="A5:B9"/>
    <mergeCell ref="C5:C9"/>
    <mergeCell ref="D5:J5"/>
    <mergeCell ref="I8:I9"/>
    <mergeCell ref="Q7:Q9"/>
    <mergeCell ref="R7:R9"/>
    <mergeCell ref="S7:S9"/>
    <mergeCell ref="T7:T9"/>
    <mergeCell ref="A2:D2"/>
    <mergeCell ref="E2:N2"/>
    <mergeCell ref="P2:T2"/>
    <mergeCell ref="D7:E7"/>
    <mergeCell ref="F7:G7"/>
    <mergeCell ref="H7:I7"/>
    <mergeCell ref="J7:J9"/>
    <mergeCell ref="K7:M8"/>
    <mergeCell ref="E3:N3"/>
    <mergeCell ref="A3:D3"/>
    <mergeCell ref="P3:T3"/>
    <mergeCell ref="P4:T4"/>
    <mergeCell ref="E1:N1"/>
    <mergeCell ref="P1:T1"/>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38"/>
  <sheetViews>
    <sheetView view="pageBreakPreview" zoomScaleSheetLayoutView="100" zoomScalePageLayoutView="0" workbookViewId="0" topLeftCell="A1">
      <selection activeCell="J18" sqref="J18"/>
    </sheetView>
  </sheetViews>
  <sheetFormatPr defaultColWidth="9.00390625" defaultRowHeight="15.75"/>
  <cols>
    <col min="1" max="1" width="4.75390625" style="631" customWidth="1"/>
    <col min="2" max="2" width="26.125" style="631" customWidth="1"/>
    <col min="3" max="3" width="11.625" style="630" customWidth="1"/>
    <col min="4" max="7" width="8.00390625" style="630" customWidth="1"/>
    <col min="8" max="9" width="12.125" style="630" customWidth="1"/>
    <col min="10" max="10" width="11.125" style="630" customWidth="1"/>
    <col min="11" max="11" width="15.25390625" style="630" customWidth="1"/>
    <col min="12" max="12" width="11.125" style="630" customWidth="1"/>
    <col min="13" max="16384" width="9.00390625" style="630" customWidth="1"/>
  </cols>
  <sheetData>
    <row r="1" spans="1:12" ht="21" customHeight="1">
      <c r="A1" s="1672" t="s">
        <v>280</v>
      </c>
      <c r="B1" s="1672"/>
      <c r="C1" s="529"/>
      <c r="D1" s="1709" t="s">
        <v>667</v>
      </c>
      <c r="E1" s="1709"/>
      <c r="F1" s="1709"/>
      <c r="G1" s="1709"/>
      <c r="H1" s="1709"/>
      <c r="I1" s="1709"/>
      <c r="J1" s="1804" t="s">
        <v>668</v>
      </c>
      <c r="K1" s="1805"/>
      <c r="L1" s="1805"/>
    </row>
    <row r="2" spans="1:12" ht="15.75" customHeight="1">
      <c r="A2" s="1665" t="s">
        <v>342</v>
      </c>
      <c r="B2" s="1666"/>
      <c r="C2" s="1666"/>
      <c r="D2" s="1709"/>
      <c r="E2" s="1709"/>
      <c r="F2" s="1709"/>
      <c r="G2" s="1709"/>
      <c r="H2" s="1709"/>
      <c r="I2" s="1709"/>
      <c r="J2" s="1803" t="str">
        <f>'Thong tin'!B4</f>
        <v>Cục THADS tỉnh Bình Thuận</v>
      </c>
      <c r="K2" s="1803"/>
      <c r="L2" s="1803"/>
    </row>
    <row r="3" spans="1:12" ht="18.75" customHeight="1">
      <c r="A3" s="668" t="s">
        <v>673</v>
      </c>
      <c r="B3" s="512"/>
      <c r="C3" s="512"/>
      <c r="D3" s="1729" t="str">
        <f>'Thong tin'!B3</f>
        <v>12 tháng / năm 2016</v>
      </c>
      <c r="E3" s="1729"/>
      <c r="F3" s="1729"/>
      <c r="G3" s="1729"/>
      <c r="H3" s="1729"/>
      <c r="I3" s="1729"/>
      <c r="J3" s="1806" t="s">
        <v>669</v>
      </c>
      <c r="K3" s="1807"/>
      <c r="L3" s="1807"/>
    </row>
    <row r="4" spans="1:12" ht="16.5" customHeight="1">
      <c r="A4" s="1670" t="s">
        <v>400</v>
      </c>
      <c r="B4" s="1670"/>
      <c r="C4" s="1670"/>
      <c r="D4" s="681"/>
      <c r="E4" s="681"/>
      <c r="F4" s="681"/>
      <c r="G4" s="681"/>
      <c r="H4" s="681"/>
      <c r="I4" s="681"/>
      <c r="J4" s="1808" t="s">
        <v>410</v>
      </c>
      <c r="K4" s="1809"/>
      <c r="L4" s="1809"/>
    </row>
    <row r="5" spans="3:12" ht="15.75" customHeight="1">
      <c r="C5" s="689"/>
      <c r="D5" s="689"/>
      <c r="H5" s="690"/>
      <c r="I5" s="690"/>
      <c r="J5" s="1812" t="s">
        <v>281</v>
      </c>
      <c r="K5" s="1812"/>
      <c r="L5" s="1812"/>
    </row>
    <row r="6" spans="2:12" ht="0.75" customHeight="1">
      <c r="B6" s="692"/>
      <c r="C6" s="689"/>
      <c r="D6" s="689"/>
      <c r="E6" s="693"/>
      <c r="F6" s="693"/>
      <c r="G6" s="693"/>
      <c r="H6" s="690"/>
      <c r="I6" s="690"/>
      <c r="J6" s="691"/>
      <c r="K6" s="691"/>
      <c r="L6" s="691"/>
    </row>
    <row r="7" spans="3:12" ht="0.75" customHeight="1">
      <c r="C7" s="632"/>
      <c r="D7" s="632"/>
      <c r="H7" s="633"/>
      <c r="I7" s="633"/>
      <c r="J7" s="688"/>
      <c r="K7" s="688"/>
      <c r="L7" s="688"/>
    </row>
    <row r="8" spans="1:12" ht="22.5" customHeight="1">
      <c r="A8" s="1813" t="s">
        <v>72</v>
      </c>
      <c r="B8" s="1813"/>
      <c r="C8" s="1764" t="s">
        <v>38</v>
      </c>
      <c r="D8" s="1764" t="s">
        <v>282</v>
      </c>
      <c r="E8" s="1764"/>
      <c r="F8" s="1764"/>
      <c r="G8" s="1764"/>
      <c r="H8" s="1764" t="s">
        <v>283</v>
      </c>
      <c r="I8" s="1764"/>
      <c r="J8" s="1764" t="s">
        <v>284</v>
      </c>
      <c r="K8" s="1764"/>
      <c r="L8" s="1764"/>
    </row>
    <row r="9" spans="1:12" ht="54.75" customHeight="1">
      <c r="A9" s="1813"/>
      <c r="B9" s="1813"/>
      <c r="C9" s="1764"/>
      <c r="D9" s="612" t="s">
        <v>285</v>
      </c>
      <c r="E9" s="612" t="s">
        <v>286</v>
      </c>
      <c r="F9" s="612" t="s">
        <v>433</v>
      </c>
      <c r="G9" s="612" t="s">
        <v>287</v>
      </c>
      <c r="H9" s="612" t="s">
        <v>288</v>
      </c>
      <c r="I9" s="612" t="s">
        <v>289</v>
      </c>
      <c r="J9" s="612" t="s">
        <v>290</v>
      </c>
      <c r="K9" s="612" t="s">
        <v>291</v>
      </c>
      <c r="L9" s="612" t="s">
        <v>292</v>
      </c>
    </row>
    <row r="10" spans="1:12" s="634" customFormat="1" ht="16.5" customHeight="1">
      <c r="A10" s="1810" t="s">
        <v>6</v>
      </c>
      <c r="B10" s="1810"/>
      <c r="C10" s="616">
        <v>1</v>
      </c>
      <c r="D10" s="616">
        <v>2</v>
      </c>
      <c r="E10" s="616">
        <v>3</v>
      </c>
      <c r="F10" s="616">
        <v>4</v>
      </c>
      <c r="G10" s="616">
        <v>5</v>
      </c>
      <c r="H10" s="616">
        <v>6</v>
      </c>
      <c r="I10" s="616">
        <v>7</v>
      </c>
      <c r="J10" s="616">
        <v>8</v>
      </c>
      <c r="K10" s="616">
        <v>9</v>
      </c>
      <c r="L10" s="616">
        <v>10</v>
      </c>
    </row>
    <row r="11" spans="1:12" s="634" customFormat="1" ht="21" customHeight="1">
      <c r="A11" s="1811" t="s">
        <v>277</v>
      </c>
      <c r="B11" s="1811"/>
      <c r="C11" s="744">
        <f>C12+C13</f>
        <v>8</v>
      </c>
      <c r="D11" s="744">
        <f aca="true" t="shared" si="0" ref="D11:K11">D12+D13</f>
        <v>0</v>
      </c>
      <c r="E11" s="744">
        <f t="shared" si="0"/>
        <v>7</v>
      </c>
      <c r="F11" s="744">
        <f t="shared" si="0"/>
        <v>0</v>
      </c>
      <c r="G11" s="744">
        <f t="shared" si="0"/>
        <v>1</v>
      </c>
      <c r="H11" s="744">
        <f t="shared" si="0"/>
        <v>8</v>
      </c>
      <c r="I11" s="744">
        <f t="shared" si="0"/>
        <v>0</v>
      </c>
      <c r="J11" s="744">
        <f t="shared" si="0"/>
        <v>8</v>
      </c>
      <c r="K11" s="744">
        <f t="shared" si="0"/>
        <v>0</v>
      </c>
      <c r="L11" s="744">
        <f>L13+L12</f>
        <v>0</v>
      </c>
    </row>
    <row r="12" spans="1:12" s="634" customFormat="1" ht="21" customHeight="1">
      <c r="A12" s="206" t="s">
        <v>0</v>
      </c>
      <c r="B12" s="721" t="s">
        <v>293</v>
      </c>
      <c r="C12" s="748">
        <f>D12+E12+F12+G12</f>
        <v>0</v>
      </c>
      <c r="D12" s="751">
        <v>0</v>
      </c>
      <c r="E12" s="751">
        <v>0</v>
      </c>
      <c r="F12" s="751">
        <v>0</v>
      </c>
      <c r="G12" s="751">
        <v>0</v>
      </c>
      <c r="H12" s="751">
        <v>0</v>
      </c>
      <c r="I12" s="751">
        <v>0</v>
      </c>
      <c r="J12" s="752">
        <v>0</v>
      </c>
      <c r="K12" s="752">
        <v>0</v>
      </c>
      <c r="L12" s="752">
        <v>0</v>
      </c>
    </row>
    <row r="13" spans="1:12" s="634" customFormat="1" ht="20.25" customHeight="1">
      <c r="A13" s="753" t="s">
        <v>1</v>
      </c>
      <c r="B13" s="726" t="s">
        <v>19</v>
      </c>
      <c r="C13" s="748">
        <f>C14+C15+C16+C17+C18+C19+C20+C21+C22+C23</f>
        <v>8</v>
      </c>
      <c r="D13" s="748">
        <f aca="true" t="shared" si="1" ref="D13:L13">D14+D15+D16+D17+D18+D19+D20+D21+D22+D23</f>
        <v>0</v>
      </c>
      <c r="E13" s="748">
        <f t="shared" si="1"/>
        <v>7</v>
      </c>
      <c r="F13" s="748">
        <f t="shared" si="1"/>
        <v>0</v>
      </c>
      <c r="G13" s="748">
        <f t="shared" si="1"/>
        <v>1</v>
      </c>
      <c r="H13" s="748">
        <f t="shared" si="1"/>
        <v>8</v>
      </c>
      <c r="I13" s="748">
        <f t="shared" si="1"/>
        <v>0</v>
      </c>
      <c r="J13" s="748">
        <f t="shared" si="1"/>
        <v>8</v>
      </c>
      <c r="K13" s="748">
        <f t="shared" si="1"/>
        <v>0</v>
      </c>
      <c r="L13" s="748">
        <f t="shared" si="1"/>
        <v>0</v>
      </c>
    </row>
    <row r="14" spans="1:12" s="634" customFormat="1" ht="18.75" customHeight="1">
      <c r="A14" s="754" t="s">
        <v>52</v>
      </c>
      <c r="B14" s="745" t="s">
        <v>748</v>
      </c>
      <c r="C14" s="744">
        <f>D14+E14+F14+G14</f>
        <v>1</v>
      </c>
      <c r="D14" s="965">
        <v>0</v>
      </c>
      <c r="E14" s="965">
        <v>1</v>
      </c>
      <c r="F14" s="965">
        <v>0</v>
      </c>
      <c r="G14" s="965">
        <v>0</v>
      </c>
      <c r="H14" s="965">
        <v>1</v>
      </c>
      <c r="I14" s="965">
        <v>0</v>
      </c>
      <c r="J14" s="990">
        <v>1</v>
      </c>
      <c r="K14" s="991">
        <v>0</v>
      </c>
      <c r="L14" s="992">
        <v>0</v>
      </c>
    </row>
    <row r="15" spans="1:12" s="634" customFormat="1" ht="18.75" customHeight="1">
      <c r="A15" s="754" t="s">
        <v>53</v>
      </c>
      <c r="B15" s="745" t="s">
        <v>749</v>
      </c>
      <c r="C15" s="744">
        <f aca="true" t="shared" si="2" ref="C15:C23">D15+E15+F15+G15</f>
        <v>2</v>
      </c>
      <c r="D15" s="965">
        <v>0</v>
      </c>
      <c r="E15" s="965">
        <v>1</v>
      </c>
      <c r="F15" s="965">
        <v>0</v>
      </c>
      <c r="G15" s="965">
        <v>1</v>
      </c>
      <c r="H15" s="965">
        <v>2</v>
      </c>
      <c r="I15" s="965">
        <v>0</v>
      </c>
      <c r="J15" s="990">
        <v>2</v>
      </c>
      <c r="K15" s="991">
        <v>0</v>
      </c>
      <c r="L15" s="992">
        <v>0</v>
      </c>
    </row>
    <row r="16" spans="1:12" s="634" customFormat="1" ht="19.5" customHeight="1">
      <c r="A16" s="754" t="s">
        <v>58</v>
      </c>
      <c r="B16" s="745" t="s">
        <v>750</v>
      </c>
      <c r="C16" s="744">
        <f t="shared" si="2"/>
        <v>0</v>
      </c>
      <c r="D16" s="965">
        <v>0</v>
      </c>
      <c r="E16" s="965">
        <v>0</v>
      </c>
      <c r="F16" s="965">
        <v>0</v>
      </c>
      <c r="G16" s="965">
        <v>0</v>
      </c>
      <c r="H16" s="965">
        <v>0</v>
      </c>
      <c r="I16" s="965">
        <v>0</v>
      </c>
      <c r="J16" s="990">
        <v>0</v>
      </c>
      <c r="K16" s="991">
        <v>0</v>
      </c>
      <c r="L16" s="992">
        <v>0</v>
      </c>
    </row>
    <row r="17" spans="1:12" s="634" customFormat="1" ht="20.25" customHeight="1">
      <c r="A17" s="754" t="s">
        <v>73</v>
      </c>
      <c r="B17" s="745" t="s">
        <v>751</v>
      </c>
      <c r="C17" s="744">
        <f t="shared" si="2"/>
        <v>1</v>
      </c>
      <c r="D17" s="965">
        <v>0</v>
      </c>
      <c r="E17" s="965">
        <v>1</v>
      </c>
      <c r="F17" s="965">
        <v>0</v>
      </c>
      <c r="G17" s="965">
        <v>0</v>
      </c>
      <c r="H17" s="965">
        <v>1</v>
      </c>
      <c r="I17" s="965">
        <v>0</v>
      </c>
      <c r="J17" s="990">
        <v>1</v>
      </c>
      <c r="K17" s="991">
        <v>0</v>
      </c>
      <c r="L17" s="992">
        <v>0</v>
      </c>
    </row>
    <row r="18" spans="1:12" s="634" customFormat="1" ht="19.5" customHeight="1">
      <c r="A18" s="754" t="s">
        <v>74</v>
      </c>
      <c r="B18" s="745" t="s">
        <v>752</v>
      </c>
      <c r="C18" s="744">
        <f t="shared" si="2"/>
        <v>2</v>
      </c>
      <c r="D18" s="965">
        <v>0</v>
      </c>
      <c r="E18" s="965">
        <v>2</v>
      </c>
      <c r="F18" s="965">
        <v>0</v>
      </c>
      <c r="G18" s="965">
        <v>0</v>
      </c>
      <c r="H18" s="965">
        <v>2</v>
      </c>
      <c r="I18" s="965">
        <v>0</v>
      </c>
      <c r="J18" s="990">
        <v>2</v>
      </c>
      <c r="K18" s="990">
        <v>0</v>
      </c>
      <c r="L18" s="992">
        <v>0</v>
      </c>
    </row>
    <row r="19" spans="1:12" s="634" customFormat="1" ht="18.75" customHeight="1">
      <c r="A19" s="754" t="s">
        <v>75</v>
      </c>
      <c r="B19" s="745" t="s">
        <v>753</v>
      </c>
      <c r="C19" s="744">
        <f t="shared" si="2"/>
        <v>0</v>
      </c>
      <c r="D19" s="965">
        <v>0</v>
      </c>
      <c r="E19" s="965">
        <v>0</v>
      </c>
      <c r="F19" s="965">
        <v>0</v>
      </c>
      <c r="G19" s="965">
        <v>0</v>
      </c>
      <c r="H19" s="965">
        <v>0</v>
      </c>
      <c r="I19" s="965">
        <v>0</v>
      </c>
      <c r="J19" s="990">
        <v>0</v>
      </c>
      <c r="K19" s="991">
        <v>0</v>
      </c>
      <c r="L19" s="992">
        <v>0</v>
      </c>
    </row>
    <row r="20" spans="1:12" s="634" customFormat="1" ht="19.5" customHeight="1">
      <c r="A20" s="754" t="s">
        <v>76</v>
      </c>
      <c r="B20" s="745" t="s">
        <v>754</v>
      </c>
      <c r="C20" s="744">
        <f t="shared" si="2"/>
        <v>0</v>
      </c>
      <c r="D20" s="965">
        <v>0</v>
      </c>
      <c r="E20" s="965">
        <v>0</v>
      </c>
      <c r="F20" s="965">
        <v>0</v>
      </c>
      <c r="G20" s="965">
        <v>0</v>
      </c>
      <c r="H20" s="965">
        <v>0</v>
      </c>
      <c r="I20" s="965">
        <v>0</v>
      </c>
      <c r="J20" s="991">
        <v>0</v>
      </c>
      <c r="K20" s="991">
        <v>0</v>
      </c>
      <c r="L20" s="992">
        <v>0</v>
      </c>
    </row>
    <row r="21" spans="1:12" s="634" customFormat="1" ht="19.5" customHeight="1">
      <c r="A21" s="754" t="s">
        <v>77</v>
      </c>
      <c r="B21" s="745" t="s">
        <v>755</v>
      </c>
      <c r="C21" s="744">
        <f t="shared" si="2"/>
        <v>1</v>
      </c>
      <c r="D21" s="965">
        <v>0</v>
      </c>
      <c r="E21" s="965">
        <v>1</v>
      </c>
      <c r="F21" s="965">
        <v>0</v>
      </c>
      <c r="G21" s="965">
        <v>0</v>
      </c>
      <c r="H21" s="965">
        <v>1</v>
      </c>
      <c r="I21" s="965">
        <v>0</v>
      </c>
      <c r="J21" s="991">
        <v>1</v>
      </c>
      <c r="K21" s="990">
        <v>0</v>
      </c>
      <c r="L21" s="992">
        <v>0</v>
      </c>
    </row>
    <row r="22" spans="1:12" s="634" customFormat="1" ht="19.5" customHeight="1">
      <c r="A22" s="754" t="s">
        <v>78</v>
      </c>
      <c r="B22" s="745" t="s">
        <v>756</v>
      </c>
      <c r="C22" s="744">
        <f t="shared" si="2"/>
        <v>0</v>
      </c>
      <c r="D22" s="965">
        <v>0</v>
      </c>
      <c r="E22" s="965">
        <v>0</v>
      </c>
      <c r="F22" s="965">
        <v>0</v>
      </c>
      <c r="G22" s="965">
        <v>0</v>
      </c>
      <c r="H22" s="965">
        <v>0</v>
      </c>
      <c r="I22" s="965">
        <v>0</v>
      </c>
      <c r="J22" s="992">
        <v>0</v>
      </c>
      <c r="K22" s="992">
        <v>0</v>
      </c>
      <c r="L22" s="992">
        <v>0</v>
      </c>
    </row>
    <row r="23" spans="1:12" s="634" customFormat="1" ht="21.75" customHeight="1" thickBot="1">
      <c r="A23" s="755" t="s">
        <v>101</v>
      </c>
      <c r="B23" s="1005" t="s">
        <v>757</v>
      </c>
      <c r="C23" s="746">
        <f t="shared" si="2"/>
        <v>1</v>
      </c>
      <c r="D23" s="972">
        <v>0</v>
      </c>
      <c r="E23" s="972">
        <v>1</v>
      </c>
      <c r="F23" s="972">
        <v>0</v>
      </c>
      <c r="G23" s="972">
        <v>0</v>
      </c>
      <c r="H23" s="972">
        <v>1</v>
      </c>
      <c r="I23" s="972">
        <v>0</v>
      </c>
      <c r="J23" s="747">
        <v>1</v>
      </c>
      <c r="K23" s="993">
        <v>0</v>
      </c>
      <c r="L23" s="993">
        <v>0</v>
      </c>
    </row>
    <row r="24" ht="15" customHeight="1" thickTop="1"/>
    <row r="25" spans="1:12" ht="18" customHeight="1">
      <c r="A25" s="1769"/>
      <c r="B25" s="1769"/>
      <c r="C25" s="1769"/>
      <c r="D25" s="1769"/>
      <c r="E25" s="982"/>
      <c r="G25" s="974"/>
      <c r="H25" s="974"/>
      <c r="I25" s="1770" t="str">
        <f>'Thong tin'!B9</f>
        <v>Bình Thuận, ngày 04 tháng 10 năm 2016</v>
      </c>
      <c r="J25" s="1770"/>
      <c r="K25" s="1770"/>
      <c r="L25" s="1770"/>
    </row>
    <row r="26" spans="1:16" ht="18" customHeight="1">
      <c r="A26" s="1722" t="s">
        <v>250</v>
      </c>
      <c r="B26" s="1722"/>
      <c r="C26" s="1722"/>
      <c r="D26" s="1722"/>
      <c r="E26" s="947"/>
      <c r="G26" s="947"/>
      <c r="H26" s="947"/>
      <c r="I26" s="1723" t="str">
        <f>'Thong tin'!B7</f>
        <v>KT. CỤC TRƯỞNG</v>
      </c>
      <c r="J26" s="1723"/>
      <c r="K26" s="1723"/>
      <c r="L26" s="1723"/>
      <c r="P26" s="636"/>
    </row>
    <row r="27" spans="1:12" ht="18" customHeight="1">
      <c r="A27" s="1726"/>
      <c r="B27" s="1726"/>
      <c r="C27" s="1726"/>
      <c r="D27" s="1726"/>
      <c r="E27" s="676"/>
      <c r="G27" s="947"/>
      <c r="H27" s="947"/>
      <c r="I27" s="1723" t="str">
        <f>'Thong tin'!B8</f>
        <v>PHÓ CỤC TRƯỞNG</v>
      </c>
      <c r="J27" s="1723"/>
      <c r="K27" s="1723"/>
      <c r="L27" s="1723"/>
    </row>
    <row r="28" spans="1:12" ht="18" customHeight="1">
      <c r="A28" s="951"/>
      <c r="B28" s="951"/>
      <c r="C28" s="676"/>
      <c r="D28" s="676"/>
      <c r="E28" s="676"/>
      <c r="F28" s="676"/>
      <c r="G28" s="676"/>
      <c r="H28" s="676"/>
      <c r="I28" s="676"/>
      <c r="J28" s="676"/>
      <c r="K28" s="676"/>
      <c r="L28" s="676"/>
    </row>
    <row r="29" spans="1:12" ht="16.5">
      <c r="A29" s="951"/>
      <c r="B29" s="1727"/>
      <c r="C29" s="1727"/>
      <c r="D29" s="676"/>
      <c r="E29" s="676"/>
      <c r="F29" s="676"/>
      <c r="G29" s="676"/>
      <c r="H29" s="1727"/>
      <c r="I29" s="1727"/>
      <c r="J29" s="1727"/>
      <c r="K29" s="676"/>
      <c r="L29" s="676"/>
    </row>
    <row r="30" spans="1:12" ht="13.5" customHeight="1">
      <c r="A30" s="951"/>
      <c r="B30" s="951"/>
      <c r="C30" s="676"/>
      <c r="D30" s="676"/>
      <c r="E30" s="676"/>
      <c r="F30" s="676"/>
      <c r="G30" s="676"/>
      <c r="H30" s="676"/>
      <c r="I30" s="676"/>
      <c r="J30" s="676"/>
      <c r="K30" s="676"/>
      <c r="L30" s="676"/>
    </row>
    <row r="31" spans="1:12" ht="13.5" customHeight="1" hidden="1">
      <c r="A31" s="951"/>
      <c r="B31" s="951"/>
      <c r="C31" s="676"/>
      <c r="D31" s="676"/>
      <c r="E31" s="676"/>
      <c r="F31" s="676"/>
      <c r="G31" s="676"/>
      <c r="H31" s="676"/>
      <c r="I31" s="676"/>
      <c r="J31" s="676"/>
      <c r="K31" s="676"/>
      <c r="L31" s="676"/>
    </row>
    <row r="32" spans="1:12" s="572" customFormat="1" ht="17.25" hidden="1">
      <c r="A32" s="994" t="s">
        <v>294</v>
      </c>
      <c r="B32" s="949"/>
      <c r="C32" s="950"/>
      <c r="D32" s="950"/>
      <c r="E32" s="950"/>
      <c r="F32" s="950"/>
      <c r="G32" s="950"/>
      <c r="H32" s="950"/>
      <c r="I32" s="950"/>
      <c r="J32" s="950"/>
      <c r="K32" s="950"/>
      <c r="L32" s="950"/>
    </row>
    <row r="33" spans="1:12" s="609" customFormat="1" ht="16.5" hidden="1">
      <c r="A33" s="835"/>
      <c r="B33" s="995" t="s">
        <v>295</v>
      </c>
      <c r="C33" s="995"/>
      <c r="D33" s="995"/>
      <c r="E33" s="988"/>
      <c r="F33" s="988"/>
      <c r="G33" s="988"/>
      <c r="H33" s="988"/>
      <c r="I33" s="988"/>
      <c r="J33" s="988"/>
      <c r="K33" s="988"/>
      <c r="L33" s="988"/>
    </row>
    <row r="34" spans="1:12" s="609" customFormat="1" ht="16.5" hidden="1">
      <c r="A34" s="835"/>
      <c r="B34" s="995" t="s">
        <v>296</v>
      </c>
      <c r="C34" s="995"/>
      <c r="D34" s="995"/>
      <c r="E34" s="995"/>
      <c r="F34" s="988"/>
      <c r="G34" s="988"/>
      <c r="H34" s="988"/>
      <c r="I34" s="988"/>
      <c r="J34" s="988"/>
      <c r="K34" s="988"/>
      <c r="L34" s="988"/>
    </row>
    <row r="35" spans="1:12" s="609" customFormat="1" ht="16.5" hidden="1">
      <c r="A35" s="835"/>
      <c r="B35" s="988" t="s">
        <v>297</v>
      </c>
      <c r="C35" s="988"/>
      <c r="D35" s="988"/>
      <c r="E35" s="988"/>
      <c r="F35" s="988"/>
      <c r="G35" s="988"/>
      <c r="H35" s="988"/>
      <c r="I35" s="988"/>
      <c r="J35" s="988"/>
      <c r="K35" s="988"/>
      <c r="L35" s="988"/>
    </row>
    <row r="36" spans="1:12" ht="16.5">
      <c r="A36" s="951"/>
      <c r="B36" s="951"/>
      <c r="C36" s="676"/>
      <c r="D36" s="676"/>
      <c r="E36" s="676"/>
      <c r="F36" s="676"/>
      <c r="G36" s="676"/>
      <c r="H36" s="676"/>
      <c r="I36" s="676"/>
      <c r="J36" s="676"/>
      <c r="K36" s="676"/>
      <c r="L36" s="676"/>
    </row>
    <row r="37" spans="1:12" ht="16.5">
      <c r="A37" s="1651" t="str">
        <f>'Thong tin'!B5</f>
        <v>Trần Quốc Bảo</v>
      </c>
      <c r="B37" s="1651"/>
      <c r="C37" s="1651"/>
      <c r="D37" s="1651"/>
      <c r="E37" s="675"/>
      <c r="G37" s="675"/>
      <c r="H37" s="675"/>
      <c r="I37" s="1651" t="str">
        <f>'Thong tin'!B6</f>
        <v>Trần Nam</v>
      </c>
      <c r="J37" s="1651"/>
      <c r="K37" s="1651"/>
      <c r="L37" s="1651"/>
    </row>
    <row r="38" spans="1:12" ht="18">
      <c r="A38" s="637"/>
      <c r="B38" s="637"/>
      <c r="C38" s="635"/>
      <c r="D38" s="635"/>
      <c r="E38" s="635"/>
      <c r="F38" s="635"/>
      <c r="G38" s="635"/>
      <c r="H38" s="635"/>
      <c r="I38" s="635"/>
      <c r="J38" s="635"/>
      <c r="K38" s="635"/>
      <c r="L38" s="635"/>
    </row>
  </sheetData>
  <sheetProtection/>
  <mergeCells count="27">
    <mergeCell ref="A37:D37"/>
    <mergeCell ref="A26:D26"/>
    <mergeCell ref="A27:D27"/>
    <mergeCell ref="B29:C29"/>
    <mergeCell ref="A10:B10"/>
    <mergeCell ref="A11:B11"/>
    <mergeCell ref="A25:D25"/>
    <mergeCell ref="J5:L5"/>
    <mergeCell ref="A8:B9"/>
    <mergeCell ref="C8:C9"/>
    <mergeCell ref="D8:G8"/>
    <mergeCell ref="H8:I8"/>
    <mergeCell ref="I25:L25"/>
    <mergeCell ref="A4:C4"/>
    <mergeCell ref="J8:L8"/>
    <mergeCell ref="J2:L2"/>
    <mergeCell ref="D3:I3"/>
    <mergeCell ref="D1:I2"/>
    <mergeCell ref="J1:L1"/>
    <mergeCell ref="A2:C2"/>
    <mergeCell ref="J3:L3"/>
    <mergeCell ref="A1:B1"/>
    <mergeCell ref="J4:L4"/>
    <mergeCell ref="I26:L26"/>
    <mergeCell ref="I27:L27"/>
    <mergeCell ref="I37:L37"/>
    <mergeCell ref="H29:J29"/>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31"/>
  <sheetViews>
    <sheetView view="pageBreakPreview" zoomScaleSheetLayoutView="100" zoomScalePageLayoutView="0" workbookViewId="0" topLeftCell="A1">
      <selection activeCell="J15" sqref="J15"/>
    </sheetView>
  </sheetViews>
  <sheetFormatPr defaultColWidth="9.00390625" defaultRowHeight="15.75"/>
  <cols>
    <col min="1" max="1" width="3.875" style="630" customWidth="1"/>
    <col min="2" max="2" width="20.875" style="630" customWidth="1"/>
    <col min="3" max="3" width="11.875" style="630" customWidth="1"/>
    <col min="4" max="7" width="8.875" style="630" customWidth="1"/>
    <col min="8" max="8" width="10.125" style="630" customWidth="1"/>
    <col min="9" max="10" width="10.625" style="630" customWidth="1"/>
    <col min="11" max="11" width="12.50390625" style="630" customWidth="1"/>
    <col min="12" max="12" width="8.875" style="630" customWidth="1"/>
    <col min="13" max="13" width="10.625" style="630" customWidth="1"/>
    <col min="14" max="16384" width="9.00390625" style="630" customWidth="1"/>
  </cols>
  <sheetData>
    <row r="1" spans="1:13" ht="24" customHeight="1">
      <c r="A1" s="1818" t="s">
        <v>298</v>
      </c>
      <c r="B1" s="1818"/>
      <c r="C1" s="1818"/>
      <c r="D1" s="1709" t="s">
        <v>670</v>
      </c>
      <c r="E1" s="1709"/>
      <c r="F1" s="1709"/>
      <c r="G1" s="1709"/>
      <c r="H1" s="1709"/>
      <c r="I1" s="1709"/>
      <c r="K1" s="682" t="s">
        <v>666</v>
      </c>
      <c r="L1" s="638"/>
      <c r="M1" s="638"/>
    </row>
    <row r="2" spans="1:13" ht="15.75" customHeight="1">
      <c r="A2" s="699" t="s">
        <v>342</v>
      </c>
      <c r="B2" s="700"/>
      <c r="C2" s="700"/>
      <c r="D2" s="1729" t="str">
        <f>'Thong tin'!B3</f>
        <v>12 tháng / năm 2016</v>
      </c>
      <c r="E2" s="1729"/>
      <c r="F2" s="1729"/>
      <c r="G2" s="1729"/>
      <c r="H2" s="1729"/>
      <c r="I2" s="1729"/>
      <c r="K2" s="1821" t="str">
        <f>'Thong tin'!B4</f>
        <v>Cục THADS tỉnh Bình Thuận</v>
      </c>
      <c r="L2" s="1821"/>
      <c r="M2" s="1821"/>
    </row>
    <row r="3" spans="1:13" ht="18.75" customHeight="1">
      <c r="A3" s="701" t="s">
        <v>343</v>
      </c>
      <c r="B3" s="699"/>
      <c r="C3" s="699"/>
      <c r="D3" s="550"/>
      <c r="E3" s="550"/>
      <c r="F3" s="550"/>
      <c r="G3" s="550"/>
      <c r="H3" s="550"/>
      <c r="I3" s="550"/>
      <c r="K3" s="554" t="s">
        <v>466</v>
      </c>
      <c r="L3" s="554"/>
      <c r="M3" s="554"/>
    </row>
    <row r="4" spans="1:13" ht="15.75" customHeight="1">
      <c r="A4" s="1819" t="s">
        <v>677</v>
      </c>
      <c r="B4" s="1819"/>
      <c r="C4" s="1819"/>
      <c r="D4" s="1820"/>
      <c r="E4" s="1820"/>
      <c r="F4" s="1820"/>
      <c r="G4" s="1820"/>
      <c r="H4" s="1820"/>
      <c r="I4" s="1820"/>
      <c r="K4" s="638" t="s">
        <v>401</v>
      </c>
      <c r="L4" s="638"/>
      <c r="M4" s="638"/>
    </row>
    <row r="5" spans="1:13" ht="15.75">
      <c r="A5" s="1826"/>
      <c r="B5" s="1826"/>
      <c r="C5" s="549"/>
      <c r="I5" s="639"/>
      <c r="J5" s="1827" t="s">
        <v>437</v>
      </c>
      <c r="K5" s="1827"/>
      <c r="L5" s="1827"/>
      <c r="M5" s="1827"/>
    </row>
    <row r="6" spans="1:13" ht="18.75" customHeight="1">
      <c r="A6" s="1735" t="s">
        <v>72</v>
      </c>
      <c r="B6" s="1736"/>
      <c r="C6" s="1771" t="s">
        <v>299</v>
      </c>
      <c r="D6" s="1754" t="s">
        <v>300</v>
      </c>
      <c r="E6" s="1825"/>
      <c r="F6" s="1825"/>
      <c r="G6" s="1774"/>
      <c r="H6" s="1754" t="s">
        <v>301</v>
      </c>
      <c r="I6" s="1825"/>
      <c r="J6" s="1825"/>
      <c r="K6" s="1825"/>
      <c r="L6" s="1825"/>
      <c r="M6" s="1774"/>
    </row>
    <row r="7" spans="1:13" ht="15.75" customHeight="1">
      <c r="A7" s="1737"/>
      <c r="B7" s="1738"/>
      <c r="C7" s="1772"/>
      <c r="D7" s="1822" t="s">
        <v>7</v>
      </c>
      <c r="E7" s="1823"/>
      <c r="F7" s="1823"/>
      <c r="G7" s="1824"/>
      <c r="H7" s="1771" t="s">
        <v>37</v>
      </c>
      <c r="I7" s="1754" t="s">
        <v>7</v>
      </c>
      <c r="J7" s="1825"/>
      <c r="K7" s="1825"/>
      <c r="L7" s="1825"/>
      <c r="M7" s="1774"/>
    </row>
    <row r="8" spans="1:13" ht="14.25" customHeight="1">
      <c r="A8" s="1737"/>
      <c r="B8" s="1738"/>
      <c r="C8" s="1772"/>
      <c r="D8" s="1771" t="s">
        <v>302</v>
      </c>
      <c r="E8" s="1771" t="s">
        <v>676</v>
      </c>
      <c r="F8" s="1771" t="s">
        <v>303</v>
      </c>
      <c r="G8" s="1771" t="s">
        <v>304</v>
      </c>
      <c r="H8" s="1772"/>
      <c r="I8" s="1771" t="s">
        <v>305</v>
      </c>
      <c r="J8" s="1771" t="s">
        <v>306</v>
      </c>
      <c r="K8" s="1771" t="s">
        <v>307</v>
      </c>
      <c r="L8" s="1771" t="s">
        <v>308</v>
      </c>
      <c r="M8" s="1771" t="s">
        <v>309</v>
      </c>
    </row>
    <row r="9" spans="1:13" ht="77.25" customHeight="1">
      <c r="A9" s="1765"/>
      <c r="B9" s="1766"/>
      <c r="C9" s="1773"/>
      <c r="D9" s="1773"/>
      <c r="E9" s="1773"/>
      <c r="F9" s="1773"/>
      <c r="G9" s="1773"/>
      <c r="H9" s="1773"/>
      <c r="I9" s="1773"/>
      <c r="J9" s="1773"/>
      <c r="K9" s="1773"/>
      <c r="L9" s="1773"/>
      <c r="M9" s="1773"/>
    </row>
    <row r="10" spans="1:13" s="634" customFormat="1" ht="16.5" customHeight="1">
      <c r="A10" s="1814" t="s">
        <v>6</v>
      </c>
      <c r="B10" s="1815"/>
      <c r="C10" s="616">
        <v>1</v>
      </c>
      <c r="D10" s="616">
        <v>2</v>
      </c>
      <c r="E10" s="616">
        <v>3</v>
      </c>
      <c r="F10" s="616">
        <v>4</v>
      </c>
      <c r="G10" s="616" t="s">
        <v>74</v>
      </c>
      <c r="H10" s="616" t="s">
        <v>75</v>
      </c>
      <c r="I10" s="616" t="s">
        <v>76</v>
      </c>
      <c r="J10" s="616" t="s">
        <v>77</v>
      </c>
      <c r="K10" s="616" t="s">
        <v>78</v>
      </c>
      <c r="L10" s="616" t="s">
        <v>101</v>
      </c>
      <c r="M10" s="616" t="s">
        <v>102</v>
      </c>
    </row>
    <row r="11" spans="1:13" s="634" customFormat="1" ht="20.25" customHeight="1">
      <c r="A11" s="1816" t="s">
        <v>37</v>
      </c>
      <c r="B11" s="1817"/>
      <c r="C11" s="744">
        <f>C12+C13</f>
        <v>9</v>
      </c>
      <c r="D11" s="744">
        <f aca="true" t="shared" si="0" ref="D11:M11">D12+D13</f>
        <v>0</v>
      </c>
      <c r="E11" s="744">
        <f t="shared" si="0"/>
        <v>0</v>
      </c>
      <c r="F11" s="744">
        <f t="shared" si="0"/>
        <v>2</v>
      </c>
      <c r="G11" s="744">
        <f t="shared" si="0"/>
        <v>7</v>
      </c>
      <c r="H11" s="744">
        <f t="shared" si="0"/>
        <v>9</v>
      </c>
      <c r="I11" s="744">
        <f t="shared" si="0"/>
        <v>5</v>
      </c>
      <c r="J11" s="744">
        <f t="shared" si="0"/>
        <v>0</v>
      </c>
      <c r="K11" s="744">
        <f t="shared" si="0"/>
        <v>0</v>
      </c>
      <c r="L11" s="744">
        <f t="shared" si="0"/>
        <v>0</v>
      </c>
      <c r="M11" s="744">
        <f t="shared" si="0"/>
        <v>4</v>
      </c>
    </row>
    <row r="12" spans="1:13" s="634" customFormat="1" ht="21.75" customHeight="1">
      <c r="A12" s="283" t="s">
        <v>0</v>
      </c>
      <c r="B12" s="207" t="s">
        <v>228</v>
      </c>
      <c r="C12" s="744">
        <f>D12+E12+F12</f>
        <v>1</v>
      </c>
      <c r="D12" s="965">
        <v>0</v>
      </c>
      <c r="E12" s="965">
        <v>0</v>
      </c>
      <c r="F12" s="795">
        <v>1</v>
      </c>
      <c r="G12" s="795">
        <v>0</v>
      </c>
      <c r="H12" s="796">
        <f>I12+J12+K12+L12+M12</f>
        <v>1</v>
      </c>
      <c r="I12" s="795">
        <v>1</v>
      </c>
      <c r="J12" s="797">
        <v>0</v>
      </c>
      <c r="K12" s="798">
        <v>0</v>
      </c>
      <c r="L12" s="798">
        <v>0</v>
      </c>
      <c r="M12" s="798">
        <v>0</v>
      </c>
    </row>
    <row r="13" spans="1:13" s="634" customFormat="1" ht="20.25" customHeight="1">
      <c r="A13" s="750" t="s">
        <v>1</v>
      </c>
      <c r="B13" s="743" t="s">
        <v>19</v>
      </c>
      <c r="C13" s="744">
        <f>C14+C15+C16+C17+C18+C19+C20+C21+C22+C23</f>
        <v>8</v>
      </c>
      <c r="D13" s="744">
        <f aca="true" t="shared" si="1" ref="D13:M13">D14+D15+D16+D17+D18+D19+D20+D21+D22+D23</f>
        <v>0</v>
      </c>
      <c r="E13" s="744">
        <f t="shared" si="1"/>
        <v>0</v>
      </c>
      <c r="F13" s="744">
        <f t="shared" si="1"/>
        <v>1</v>
      </c>
      <c r="G13" s="744">
        <f t="shared" si="1"/>
        <v>7</v>
      </c>
      <c r="H13" s="744">
        <f t="shared" si="1"/>
        <v>8</v>
      </c>
      <c r="I13" s="744">
        <f t="shared" si="1"/>
        <v>4</v>
      </c>
      <c r="J13" s="744">
        <f t="shared" si="1"/>
        <v>0</v>
      </c>
      <c r="K13" s="744">
        <f t="shared" si="1"/>
        <v>0</v>
      </c>
      <c r="L13" s="744">
        <f t="shared" si="1"/>
        <v>0</v>
      </c>
      <c r="M13" s="744">
        <f t="shared" si="1"/>
        <v>4</v>
      </c>
    </row>
    <row r="14" spans="1:13" s="634" customFormat="1" ht="18" customHeight="1">
      <c r="A14" s="283">
        <v>1</v>
      </c>
      <c r="B14" s="745" t="s">
        <v>748</v>
      </c>
      <c r="C14" s="744">
        <f>D14+E14+F14+G14</f>
        <v>1</v>
      </c>
      <c r="D14" s="965">
        <v>0</v>
      </c>
      <c r="E14" s="965">
        <v>0</v>
      </c>
      <c r="F14" s="965">
        <v>0</v>
      </c>
      <c r="G14" s="795">
        <v>1</v>
      </c>
      <c r="H14" s="744">
        <f>I14+J14+K14+L14+M14</f>
        <v>1</v>
      </c>
      <c r="I14" s="795">
        <v>1</v>
      </c>
      <c r="J14" s="795">
        <v>0</v>
      </c>
      <c r="K14" s="798">
        <v>0</v>
      </c>
      <c r="L14" s="798">
        <v>0</v>
      </c>
      <c r="M14" s="742">
        <v>0</v>
      </c>
    </row>
    <row r="15" spans="1:13" s="634" customFormat="1" ht="18.75" customHeight="1">
      <c r="A15" s="283">
        <v>2</v>
      </c>
      <c r="B15" s="745" t="s">
        <v>749</v>
      </c>
      <c r="C15" s="744">
        <f aca="true" t="shared" si="2" ref="C15:C23">D15+E15+F15+G15</f>
        <v>1</v>
      </c>
      <c r="D15" s="965">
        <v>0</v>
      </c>
      <c r="E15" s="965">
        <v>0</v>
      </c>
      <c r="F15" s="965">
        <v>0</v>
      </c>
      <c r="G15" s="795">
        <v>1</v>
      </c>
      <c r="H15" s="744">
        <f aca="true" t="shared" si="3" ref="H15:H23">I15+J15+K15+L15+M15</f>
        <v>1</v>
      </c>
      <c r="I15" s="795">
        <v>1</v>
      </c>
      <c r="J15" s="795">
        <v>0</v>
      </c>
      <c r="K15" s="795">
        <v>0</v>
      </c>
      <c r="L15" s="795">
        <v>0</v>
      </c>
      <c r="M15" s="742">
        <v>0</v>
      </c>
    </row>
    <row r="16" spans="1:13" s="634" customFormat="1" ht="18" customHeight="1">
      <c r="A16" s="283">
        <v>3</v>
      </c>
      <c r="B16" s="745" t="s">
        <v>750</v>
      </c>
      <c r="C16" s="744">
        <f t="shared" si="2"/>
        <v>1</v>
      </c>
      <c r="D16" s="965">
        <v>0</v>
      </c>
      <c r="E16" s="965">
        <v>0</v>
      </c>
      <c r="F16" s="965">
        <v>0</v>
      </c>
      <c r="G16" s="795">
        <v>1</v>
      </c>
      <c r="H16" s="744">
        <f t="shared" si="3"/>
        <v>1</v>
      </c>
      <c r="I16" s="795">
        <v>1</v>
      </c>
      <c r="J16" s="795">
        <v>0</v>
      </c>
      <c r="K16" s="795">
        <v>0</v>
      </c>
      <c r="L16" s="795">
        <v>0</v>
      </c>
      <c r="M16" s="742">
        <v>0</v>
      </c>
    </row>
    <row r="17" spans="1:13" s="634" customFormat="1" ht="18.75" customHeight="1">
      <c r="A17" s="283">
        <v>4</v>
      </c>
      <c r="B17" s="745" t="s">
        <v>751</v>
      </c>
      <c r="C17" s="744">
        <f t="shared" si="2"/>
        <v>0</v>
      </c>
      <c r="D17" s="965">
        <v>0</v>
      </c>
      <c r="E17" s="965">
        <v>0</v>
      </c>
      <c r="F17" s="965">
        <v>0</v>
      </c>
      <c r="G17" s="795">
        <v>0</v>
      </c>
      <c r="H17" s="744">
        <f t="shared" si="3"/>
        <v>0</v>
      </c>
      <c r="I17" s="795">
        <v>0</v>
      </c>
      <c r="J17" s="795">
        <v>0</v>
      </c>
      <c r="K17" s="795">
        <v>0</v>
      </c>
      <c r="L17" s="795">
        <v>0</v>
      </c>
      <c r="M17" s="742">
        <v>0</v>
      </c>
    </row>
    <row r="18" spans="1:13" s="634" customFormat="1" ht="18.75" customHeight="1">
      <c r="A18" s="283">
        <v>5</v>
      </c>
      <c r="B18" s="745" t="s">
        <v>752</v>
      </c>
      <c r="C18" s="744">
        <f t="shared" si="2"/>
        <v>2</v>
      </c>
      <c r="D18" s="965">
        <v>0</v>
      </c>
      <c r="E18" s="965">
        <v>0</v>
      </c>
      <c r="F18" s="965">
        <v>0</v>
      </c>
      <c r="G18" s="795">
        <v>2</v>
      </c>
      <c r="H18" s="744">
        <f t="shared" si="3"/>
        <v>2</v>
      </c>
      <c r="I18" s="795">
        <v>0</v>
      </c>
      <c r="J18" s="795">
        <v>0</v>
      </c>
      <c r="K18" s="795">
        <v>0</v>
      </c>
      <c r="L18" s="795">
        <v>0</v>
      </c>
      <c r="M18" s="742">
        <v>2</v>
      </c>
    </row>
    <row r="19" spans="1:13" s="634" customFormat="1" ht="18.75" customHeight="1">
      <c r="A19" s="283">
        <v>6</v>
      </c>
      <c r="B19" s="745" t="s">
        <v>753</v>
      </c>
      <c r="C19" s="744">
        <f t="shared" si="2"/>
        <v>0</v>
      </c>
      <c r="D19" s="965">
        <v>0</v>
      </c>
      <c r="E19" s="965">
        <v>0</v>
      </c>
      <c r="F19" s="965">
        <v>0</v>
      </c>
      <c r="G19" s="795">
        <v>0</v>
      </c>
      <c r="H19" s="744">
        <f t="shared" si="3"/>
        <v>0</v>
      </c>
      <c r="I19" s="795">
        <v>0</v>
      </c>
      <c r="J19" s="795">
        <v>0</v>
      </c>
      <c r="K19" s="795">
        <v>0</v>
      </c>
      <c r="L19" s="795">
        <v>0</v>
      </c>
      <c r="M19" s="742">
        <v>0</v>
      </c>
    </row>
    <row r="20" spans="1:13" s="634" customFormat="1" ht="18.75" customHeight="1">
      <c r="A20" s="283">
        <v>7</v>
      </c>
      <c r="B20" s="745" t="s">
        <v>754</v>
      </c>
      <c r="C20" s="744">
        <f t="shared" si="2"/>
        <v>0</v>
      </c>
      <c r="D20" s="965">
        <v>0</v>
      </c>
      <c r="E20" s="965">
        <v>0</v>
      </c>
      <c r="F20" s="965">
        <v>0</v>
      </c>
      <c r="G20" s="795">
        <v>0</v>
      </c>
      <c r="H20" s="744">
        <f t="shared" si="3"/>
        <v>0</v>
      </c>
      <c r="I20" s="795">
        <v>0</v>
      </c>
      <c r="J20" s="795">
        <v>0</v>
      </c>
      <c r="K20" s="795">
        <v>0</v>
      </c>
      <c r="L20" s="795">
        <v>0</v>
      </c>
      <c r="M20" s="742">
        <v>0</v>
      </c>
    </row>
    <row r="21" spans="1:13" s="634" customFormat="1" ht="18.75" customHeight="1">
      <c r="A21" s="283">
        <v>8</v>
      </c>
      <c r="B21" s="745" t="s">
        <v>755</v>
      </c>
      <c r="C21" s="744">
        <f t="shared" si="2"/>
        <v>1</v>
      </c>
      <c r="D21" s="965">
        <v>0</v>
      </c>
      <c r="E21" s="965">
        <v>0</v>
      </c>
      <c r="F21" s="965">
        <v>1</v>
      </c>
      <c r="G21" s="795">
        <v>0</v>
      </c>
      <c r="H21" s="744">
        <f t="shared" si="3"/>
        <v>1</v>
      </c>
      <c r="I21" s="795">
        <v>0</v>
      </c>
      <c r="J21" s="795">
        <v>0</v>
      </c>
      <c r="K21" s="795">
        <v>0</v>
      </c>
      <c r="L21" s="795">
        <v>0</v>
      </c>
      <c r="M21" s="742">
        <v>1</v>
      </c>
    </row>
    <row r="22" spans="1:13" s="634" customFormat="1" ht="18" customHeight="1">
      <c r="A22" s="283">
        <v>9</v>
      </c>
      <c r="B22" s="745" t="s">
        <v>756</v>
      </c>
      <c r="C22" s="744">
        <f t="shared" si="2"/>
        <v>1</v>
      </c>
      <c r="D22" s="965">
        <v>0</v>
      </c>
      <c r="E22" s="965">
        <v>0</v>
      </c>
      <c r="F22" s="965">
        <v>0</v>
      </c>
      <c r="G22" s="795">
        <v>1</v>
      </c>
      <c r="H22" s="744">
        <f t="shared" si="3"/>
        <v>1</v>
      </c>
      <c r="I22" s="795">
        <v>1</v>
      </c>
      <c r="J22" s="795">
        <v>0</v>
      </c>
      <c r="K22" s="795">
        <v>0</v>
      </c>
      <c r="L22" s="795">
        <v>0</v>
      </c>
      <c r="M22" s="742">
        <v>0</v>
      </c>
    </row>
    <row r="23" spans="1:13" s="634" customFormat="1" ht="19.5" customHeight="1" thickBot="1">
      <c r="A23" s="729">
        <v>10</v>
      </c>
      <c r="B23" s="1005" t="s">
        <v>757</v>
      </c>
      <c r="C23" s="746">
        <f t="shared" si="2"/>
        <v>1</v>
      </c>
      <c r="D23" s="972">
        <v>0</v>
      </c>
      <c r="E23" s="972">
        <v>0</v>
      </c>
      <c r="F23" s="972">
        <v>0</v>
      </c>
      <c r="G23" s="996">
        <v>1</v>
      </c>
      <c r="H23" s="746">
        <f t="shared" si="3"/>
        <v>1</v>
      </c>
      <c r="I23" s="996">
        <v>0</v>
      </c>
      <c r="J23" s="996">
        <v>0</v>
      </c>
      <c r="K23" s="996">
        <v>0</v>
      </c>
      <c r="L23" s="996">
        <v>0</v>
      </c>
      <c r="M23" s="747">
        <v>1</v>
      </c>
    </row>
    <row r="24" spans="1:13" ht="16.5" customHeight="1" thickTop="1">
      <c r="A24" s="1828"/>
      <c r="B24" s="1769"/>
      <c r="C24" s="1769"/>
      <c r="D24" s="1769"/>
      <c r="E24" s="1769"/>
      <c r="F24" s="982"/>
      <c r="G24" s="982"/>
      <c r="H24" s="983"/>
      <c r="I24" s="1829" t="str">
        <f>'Thong tin'!B9</f>
        <v>Bình Thuận, ngày 04 tháng 10 năm 2016</v>
      </c>
      <c r="J24" s="1829"/>
      <c r="K24" s="1829"/>
      <c r="L24" s="1829"/>
      <c r="M24" s="1829"/>
    </row>
    <row r="25" spans="1:13" ht="18.75" customHeight="1">
      <c r="A25" s="1767" t="s">
        <v>4</v>
      </c>
      <c r="B25" s="1767"/>
      <c r="C25" s="1767"/>
      <c r="D25" s="1767"/>
      <c r="E25" s="1767"/>
      <c r="F25" s="982"/>
      <c r="G25" s="982"/>
      <c r="H25" s="985"/>
      <c r="I25" s="1723" t="str">
        <f>'Thong tin'!B7</f>
        <v>KT. CỤC TRƯỞNG</v>
      </c>
      <c r="J25" s="1723"/>
      <c r="K25" s="1723"/>
      <c r="L25" s="1723"/>
      <c r="M25" s="1723"/>
    </row>
    <row r="26" spans="1:13" ht="16.5">
      <c r="A26" s="1749"/>
      <c r="B26" s="1749"/>
      <c r="C26" s="1749"/>
      <c r="D26" s="1749"/>
      <c r="E26" s="1749"/>
      <c r="F26" s="555"/>
      <c r="G26" s="555"/>
      <c r="H26" s="982"/>
      <c r="I26" s="1750" t="str">
        <f>'Thong tin'!B8</f>
        <v>PHÓ CỤC TRƯỞNG</v>
      </c>
      <c r="J26" s="1750"/>
      <c r="K26" s="1750"/>
      <c r="L26" s="1750"/>
      <c r="M26" s="1750"/>
    </row>
    <row r="27" spans="1:13" ht="31.5" customHeight="1">
      <c r="A27" s="978"/>
      <c r="B27" s="978"/>
      <c r="C27" s="978"/>
      <c r="D27" s="978"/>
      <c r="E27" s="978"/>
      <c r="F27" s="555"/>
      <c r="G27" s="555"/>
      <c r="H27" s="982"/>
      <c r="I27" s="980"/>
      <c r="J27" s="980"/>
      <c r="K27" s="980"/>
      <c r="L27" s="980"/>
      <c r="M27" s="980"/>
    </row>
    <row r="28" spans="1:13" ht="16.5">
      <c r="A28" s="978"/>
      <c r="B28" s="978"/>
      <c r="C28" s="978"/>
      <c r="D28" s="978"/>
      <c r="E28" s="978"/>
      <c r="F28" s="555"/>
      <c r="G28" s="555"/>
      <c r="H28" s="982"/>
      <c r="I28" s="980"/>
      <c r="J28" s="980"/>
      <c r="K28" s="980"/>
      <c r="L28" s="980"/>
      <c r="M28" s="980"/>
    </row>
    <row r="29" spans="1:13" ht="16.5">
      <c r="A29" s="982"/>
      <c r="B29" s="982"/>
      <c r="C29" s="982"/>
      <c r="D29" s="982"/>
      <c r="E29" s="982"/>
      <c r="F29" s="982"/>
      <c r="G29" s="982"/>
      <c r="H29" s="982"/>
      <c r="I29" s="982"/>
      <c r="J29" s="982"/>
      <c r="K29" s="982"/>
      <c r="L29" s="982"/>
      <c r="M29" s="982"/>
    </row>
    <row r="30" spans="1:13" ht="16.5">
      <c r="A30" s="1700" t="str">
        <f>'Thong tin'!B5</f>
        <v>Trần Quốc Bảo</v>
      </c>
      <c r="B30" s="1700"/>
      <c r="C30" s="1700"/>
      <c r="D30" s="1700"/>
      <c r="E30" s="1700"/>
      <c r="F30" s="982"/>
      <c r="G30" s="982"/>
      <c r="H30" s="943"/>
      <c r="I30" s="1651" t="str">
        <f>'Thong tin'!B6</f>
        <v>Trần Nam</v>
      </c>
      <c r="J30" s="1651"/>
      <c r="K30" s="1651"/>
      <c r="L30" s="1651"/>
      <c r="M30" s="1651"/>
    </row>
    <row r="31" spans="1:13" ht="12.75" customHeight="1">
      <c r="A31" s="635"/>
      <c r="B31" s="635"/>
      <c r="C31" s="635"/>
      <c r="D31" s="635"/>
      <c r="E31" s="635"/>
      <c r="F31" s="635"/>
      <c r="G31" s="635"/>
      <c r="H31" s="635"/>
      <c r="I31" s="640"/>
      <c r="J31" s="640"/>
      <c r="K31" s="640"/>
      <c r="L31" s="640"/>
      <c r="M31" s="640"/>
    </row>
  </sheetData>
  <sheetProtection/>
  <mergeCells count="34">
    <mergeCell ref="A30:E30"/>
    <mergeCell ref="I30:M30"/>
    <mergeCell ref="A25:E25"/>
    <mergeCell ref="I25:M25"/>
    <mergeCell ref="A26:E26"/>
    <mergeCell ref="I26:M26"/>
    <mergeCell ref="A5:B5"/>
    <mergeCell ref="J5:M5"/>
    <mergeCell ref="A24:E24"/>
    <mergeCell ref="G8:G9"/>
    <mergeCell ref="D6:G6"/>
    <mergeCell ref="I7:M7"/>
    <mergeCell ref="D8:D9"/>
    <mergeCell ref="A6:B9"/>
    <mergeCell ref="C6:C9"/>
    <mergeCell ref="I24:M24"/>
    <mergeCell ref="K2:M2"/>
    <mergeCell ref="D7:G7"/>
    <mergeCell ref="H7:H9"/>
    <mergeCell ref="M8:M9"/>
    <mergeCell ref="F8:F9"/>
    <mergeCell ref="I8:I9"/>
    <mergeCell ref="J8:J9"/>
    <mergeCell ref="H6:M6"/>
    <mergeCell ref="E8:E9"/>
    <mergeCell ref="A1:C1"/>
    <mergeCell ref="A4:C4"/>
    <mergeCell ref="D4:I4"/>
    <mergeCell ref="D1:I1"/>
    <mergeCell ref="D2:I2"/>
    <mergeCell ref="A10:B10"/>
    <mergeCell ref="A11:B11"/>
    <mergeCell ref="K8:K9"/>
    <mergeCell ref="L8:L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4"/>
  <sheetViews>
    <sheetView view="pageBreakPreview" zoomScaleSheetLayoutView="100" zoomScalePageLayoutView="0" workbookViewId="0" topLeftCell="A7">
      <selection activeCell="F23" sqref="F23"/>
    </sheetView>
  </sheetViews>
  <sheetFormatPr defaultColWidth="9.00390625" defaultRowHeight="15.75"/>
  <cols>
    <col min="1" max="1" width="2.50390625" style="553" customWidth="1"/>
    <col min="2" max="2" width="21.50390625" style="553" customWidth="1"/>
    <col min="3" max="3" width="6.125" style="553" customWidth="1"/>
    <col min="4" max="4" width="9.25390625" style="553" customWidth="1"/>
    <col min="5" max="5" width="4.75390625" style="553" customWidth="1"/>
    <col min="6" max="6" width="8.50390625" style="553" customWidth="1"/>
    <col min="7" max="7" width="4.50390625" style="553" customWidth="1"/>
    <col min="8" max="8" width="8.625" style="553" customWidth="1"/>
    <col min="9" max="9" width="4.375" style="553" customWidth="1"/>
    <col min="10" max="10" width="7.50390625" style="553" customWidth="1"/>
    <col min="11" max="11" width="4.25390625" style="553" customWidth="1"/>
    <col min="12" max="12" width="6.50390625" style="553" customWidth="1"/>
    <col min="13" max="13" width="5.375" style="553" customWidth="1"/>
    <col min="14" max="14" width="8.25390625" style="553" customWidth="1"/>
    <col min="15" max="15" width="4.375" style="553" customWidth="1"/>
    <col min="16" max="16" width="7.875" style="553" customWidth="1"/>
    <col min="17" max="17" width="5.75390625" style="553" customWidth="1"/>
    <col min="18" max="18" width="6.75390625" style="553" customWidth="1"/>
    <col min="19" max="19" width="4.00390625" style="553" customWidth="1"/>
    <col min="20" max="20" width="6.125" style="553" customWidth="1"/>
    <col min="21" max="16384" width="9.00390625" style="553" customWidth="1"/>
  </cols>
  <sheetData>
    <row r="1" spans="1:20" ht="18" customHeight="1">
      <c r="A1" s="1833" t="s">
        <v>313</v>
      </c>
      <c r="B1" s="1833"/>
      <c r="C1" s="1833"/>
      <c r="D1" s="1833"/>
      <c r="E1" s="1709" t="s">
        <v>671</v>
      </c>
      <c r="F1" s="1709"/>
      <c r="G1" s="1709"/>
      <c r="H1" s="1709"/>
      <c r="I1" s="1709"/>
      <c r="J1" s="1709"/>
      <c r="K1" s="1709"/>
      <c r="L1" s="1709"/>
      <c r="M1" s="1709"/>
      <c r="N1" s="1709"/>
      <c r="O1" s="1709"/>
      <c r="P1" s="554" t="s">
        <v>398</v>
      </c>
      <c r="Q1" s="638"/>
      <c r="R1" s="638"/>
      <c r="S1" s="638"/>
      <c r="T1" s="638"/>
    </row>
    <row r="2" spans="1:20" ht="20.25" customHeight="1">
      <c r="A2" s="699" t="s">
        <v>342</v>
      </c>
      <c r="B2" s="699" t="s">
        <v>342</v>
      </c>
      <c r="C2" s="699"/>
      <c r="D2" s="699"/>
      <c r="E2" s="1709"/>
      <c r="F2" s="1709"/>
      <c r="G2" s="1709"/>
      <c r="H2" s="1709"/>
      <c r="I2" s="1709"/>
      <c r="J2" s="1709"/>
      <c r="K2" s="1709"/>
      <c r="L2" s="1709"/>
      <c r="M2" s="1709"/>
      <c r="N2" s="1709"/>
      <c r="O2" s="1709"/>
      <c r="P2" s="683" t="str">
        <f>'Thong tin'!B4</f>
        <v>Cục THADS tỉnh Bình Thuận</v>
      </c>
      <c r="Q2" s="638"/>
      <c r="R2" s="638"/>
      <c r="S2" s="638"/>
      <c r="T2" s="638"/>
    </row>
    <row r="3" spans="1:20" ht="15" customHeight="1">
      <c r="A3" s="699" t="s">
        <v>343</v>
      </c>
      <c r="B3" s="699" t="s">
        <v>343</v>
      </c>
      <c r="C3" s="699"/>
      <c r="D3" s="699"/>
      <c r="E3" s="1709"/>
      <c r="F3" s="1709"/>
      <c r="G3" s="1709"/>
      <c r="H3" s="1709"/>
      <c r="I3" s="1709"/>
      <c r="J3" s="1709"/>
      <c r="K3" s="1709"/>
      <c r="L3" s="1709"/>
      <c r="M3" s="1709"/>
      <c r="N3" s="1709"/>
      <c r="O3" s="1709"/>
      <c r="P3" s="554" t="s">
        <v>466</v>
      </c>
      <c r="Q3" s="554"/>
      <c r="R3" s="554"/>
      <c r="S3" s="641"/>
      <c r="T3" s="641"/>
    </row>
    <row r="4" spans="1:20" ht="15.75" customHeight="1">
      <c r="A4" s="702" t="s">
        <v>678</v>
      </c>
      <c r="B4" s="702" t="s">
        <v>678</v>
      </c>
      <c r="C4" s="702"/>
      <c r="D4" s="702"/>
      <c r="E4" s="1830" t="str">
        <f>'Thong tin'!B3</f>
        <v>12 tháng / năm 2016</v>
      </c>
      <c r="F4" s="1830"/>
      <c r="G4" s="1830"/>
      <c r="H4" s="1830"/>
      <c r="I4" s="1830"/>
      <c r="J4" s="1830"/>
      <c r="K4" s="1830"/>
      <c r="L4" s="1830"/>
      <c r="M4" s="1830"/>
      <c r="N4" s="1830"/>
      <c r="O4" s="1830"/>
      <c r="P4" s="638" t="s">
        <v>410</v>
      </c>
      <c r="Q4" s="554"/>
      <c r="R4" s="554"/>
      <c r="S4" s="641"/>
      <c r="T4" s="641"/>
    </row>
    <row r="5" spans="1:18" ht="24" customHeight="1">
      <c r="A5" s="642"/>
      <c r="B5" s="642"/>
      <c r="C5" s="642"/>
      <c r="F5" s="1834"/>
      <c r="G5" s="1834"/>
      <c r="H5" s="1834"/>
      <c r="I5" s="1834"/>
      <c r="J5" s="1834"/>
      <c r="K5" s="1834"/>
      <c r="L5" s="1834"/>
      <c r="M5" s="1834"/>
      <c r="N5" s="1834"/>
      <c r="O5" s="1834"/>
      <c r="P5" s="607" t="s">
        <v>442</v>
      </c>
      <c r="Q5" s="643"/>
      <c r="R5" s="643"/>
    </row>
    <row r="6" spans="1:20" s="644" customFormat="1" ht="18" customHeight="1">
      <c r="A6" s="1822" t="s">
        <v>72</v>
      </c>
      <c r="B6" s="1824"/>
      <c r="C6" s="1754" t="s">
        <v>38</v>
      </c>
      <c r="D6" s="1774"/>
      <c r="E6" s="1754" t="s">
        <v>7</v>
      </c>
      <c r="F6" s="1825"/>
      <c r="G6" s="1825"/>
      <c r="H6" s="1825"/>
      <c r="I6" s="1825"/>
      <c r="J6" s="1825"/>
      <c r="K6" s="1825"/>
      <c r="L6" s="1825"/>
      <c r="M6" s="1825"/>
      <c r="N6" s="1825"/>
      <c r="O6" s="1825"/>
      <c r="P6" s="1825"/>
      <c r="Q6" s="1825"/>
      <c r="R6" s="1825"/>
      <c r="S6" s="1825"/>
      <c r="T6" s="1774"/>
    </row>
    <row r="7" spans="1:20" s="644" customFormat="1" ht="22.5" customHeight="1">
      <c r="A7" s="1835"/>
      <c r="B7" s="1836"/>
      <c r="C7" s="1771" t="s">
        <v>443</v>
      </c>
      <c r="D7" s="1771" t="s">
        <v>444</v>
      </c>
      <c r="E7" s="1754" t="s">
        <v>314</v>
      </c>
      <c r="F7" s="1831"/>
      <c r="G7" s="1831"/>
      <c r="H7" s="1831"/>
      <c r="I7" s="1831"/>
      <c r="J7" s="1831"/>
      <c r="K7" s="1831"/>
      <c r="L7" s="1832"/>
      <c r="M7" s="1754" t="s">
        <v>445</v>
      </c>
      <c r="N7" s="1825"/>
      <c r="O7" s="1825"/>
      <c r="P7" s="1825"/>
      <c r="Q7" s="1825"/>
      <c r="R7" s="1825"/>
      <c r="S7" s="1825"/>
      <c r="T7" s="1774"/>
    </row>
    <row r="8" spans="1:20" s="644" customFormat="1" ht="32.25" customHeight="1">
      <c r="A8" s="1835"/>
      <c r="B8" s="1836"/>
      <c r="C8" s="1772"/>
      <c r="D8" s="1772"/>
      <c r="E8" s="1764" t="s">
        <v>446</v>
      </c>
      <c r="F8" s="1764"/>
      <c r="G8" s="1754" t="s">
        <v>447</v>
      </c>
      <c r="H8" s="1825"/>
      <c r="I8" s="1825"/>
      <c r="J8" s="1825"/>
      <c r="K8" s="1825"/>
      <c r="L8" s="1774"/>
      <c r="M8" s="1764" t="s">
        <v>448</v>
      </c>
      <c r="N8" s="1764"/>
      <c r="O8" s="1754" t="s">
        <v>447</v>
      </c>
      <c r="P8" s="1825"/>
      <c r="Q8" s="1825"/>
      <c r="R8" s="1825"/>
      <c r="S8" s="1825"/>
      <c r="T8" s="1774"/>
    </row>
    <row r="9" spans="1:20" s="644" customFormat="1" ht="30.75" customHeight="1">
      <c r="A9" s="1835"/>
      <c r="B9" s="1836"/>
      <c r="C9" s="1772"/>
      <c r="D9" s="1772"/>
      <c r="E9" s="1771" t="s">
        <v>315</v>
      </c>
      <c r="F9" s="1771" t="s">
        <v>316</v>
      </c>
      <c r="G9" s="1837" t="s">
        <v>317</v>
      </c>
      <c r="H9" s="1838"/>
      <c r="I9" s="1837" t="s">
        <v>318</v>
      </c>
      <c r="J9" s="1838"/>
      <c r="K9" s="1837" t="s">
        <v>319</v>
      </c>
      <c r="L9" s="1838"/>
      <c r="M9" s="1771" t="s">
        <v>320</v>
      </c>
      <c r="N9" s="1771" t="s">
        <v>316</v>
      </c>
      <c r="O9" s="1837" t="s">
        <v>317</v>
      </c>
      <c r="P9" s="1838"/>
      <c r="Q9" s="1837" t="s">
        <v>321</v>
      </c>
      <c r="R9" s="1838"/>
      <c r="S9" s="1837" t="s">
        <v>322</v>
      </c>
      <c r="T9" s="1838"/>
    </row>
    <row r="10" spans="1:20" s="644" customFormat="1" ht="25.5" customHeight="1">
      <c r="A10" s="1837"/>
      <c r="B10" s="1838"/>
      <c r="C10" s="1773"/>
      <c r="D10" s="1773"/>
      <c r="E10" s="1773"/>
      <c r="F10" s="1773"/>
      <c r="G10" s="612" t="s">
        <v>320</v>
      </c>
      <c r="H10" s="612" t="s">
        <v>316</v>
      </c>
      <c r="I10" s="615" t="s">
        <v>320</v>
      </c>
      <c r="J10" s="612" t="s">
        <v>316</v>
      </c>
      <c r="K10" s="615" t="s">
        <v>320</v>
      </c>
      <c r="L10" s="612" t="s">
        <v>316</v>
      </c>
      <c r="M10" s="1773"/>
      <c r="N10" s="1773"/>
      <c r="O10" s="612" t="s">
        <v>320</v>
      </c>
      <c r="P10" s="612" t="s">
        <v>316</v>
      </c>
      <c r="Q10" s="615" t="s">
        <v>320</v>
      </c>
      <c r="R10" s="612" t="s">
        <v>316</v>
      </c>
      <c r="S10" s="615" t="s">
        <v>320</v>
      </c>
      <c r="T10" s="612" t="s">
        <v>316</v>
      </c>
    </row>
    <row r="11" spans="1:20" s="617" customFormat="1" ht="12.75">
      <c r="A11" s="1839" t="s">
        <v>6</v>
      </c>
      <c r="B11" s="1840"/>
      <c r="C11" s="645">
        <v>1</v>
      </c>
      <c r="D11" s="616">
        <v>2</v>
      </c>
      <c r="E11" s="645">
        <v>3</v>
      </c>
      <c r="F11" s="616">
        <v>4</v>
      </c>
      <c r="G11" s="645">
        <v>5</v>
      </c>
      <c r="H11" s="616">
        <v>6</v>
      </c>
      <c r="I11" s="645">
        <v>7</v>
      </c>
      <c r="J11" s="616">
        <v>8</v>
      </c>
      <c r="K11" s="645">
        <v>9</v>
      </c>
      <c r="L11" s="616">
        <v>10</v>
      </c>
      <c r="M11" s="645">
        <v>11</v>
      </c>
      <c r="N11" s="616">
        <v>12</v>
      </c>
      <c r="O11" s="645">
        <v>13</v>
      </c>
      <c r="P11" s="616">
        <v>14</v>
      </c>
      <c r="Q11" s="645">
        <v>15</v>
      </c>
      <c r="R11" s="616">
        <v>16</v>
      </c>
      <c r="S11" s="645">
        <v>17</v>
      </c>
      <c r="T11" s="616">
        <v>18</v>
      </c>
    </row>
    <row r="12" spans="1:20" s="568" customFormat="1" ht="18.75" customHeight="1">
      <c r="A12" s="1841" t="s">
        <v>37</v>
      </c>
      <c r="B12" s="1842"/>
      <c r="C12" s="997">
        <f>C13+C14</f>
        <v>77</v>
      </c>
      <c r="D12" s="997">
        <f aca="true" t="shared" si="0" ref="D12:T12">D13+D14</f>
        <v>31546089</v>
      </c>
      <c r="E12" s="997">
        <f t="shared" si="0"/>
        <v>6</v>
      </c>
      <c r="F12" s="997">
        <f t="shared" si="0"/>
        <v>30239663</v>
      </c>
      <c r="G12" s="997">
        <f t="shared" si="0"/>
        <v>0</v>
      </c>
      <c r="H12" s="997">
        <f t="shared" si="0"/>
        <v>0</v>
      </c>
      <c r="I12" s="997">
        <f t="shared" si="0"/>
        <v>0</v>
      </c>
      <c r="J12" s="997">
        <f t="shared" si="0"/>
        <v>0</v>
      </c>
      <c r="K12" s="997">
        <f t="shared" si="0"/>
        <v>0</v>
      </c>
      <c r="L12" s="997">
        <f t="shared" si="0"/>
        <v>0</v>
      </c>
      <c r="M12" s="997">
        <f t="shared" si="0"/>
        <v>71</v>
      </c>
      <c r="N12" s="997">
        <f t="shared" si="0"/>
        <v>1306426</v>
      </c>
      <c r="O12" s="997">
        <f t="shared" si="0"/>
        <v>71</v>
      </c>
      <c r="P12" s="997">
        <f t="shared" si="0"/>
        <v>1306426</v>
      </c>
      <c r="Q12" s="997">
        <f t="shared" si="0"/>
        <v>0</v>
      </c>
      <c r="R12" s="997">
        <f t="shared" si="0"/>
        <v>0</v>
      </c>
      <c r="S12" s="997">
        <f t="shared" si="0"/>
        <v>0</v>
      </c>
      <c r="T12" s="997">
        <f t="shared" si="0"/>
        <v>0</v>
      </c>
    </row>
    <row r="13" spans="1:20" s="568" customFormat="1" ht="19.5" customHeight="1">
      <c r="A13" s="206" t="s">
        <v>0</v>
      </c>
      <c r="B13" s="207" t="s">
        <v>228</v>
      </c>
      <c r="C13" s="964">
        <f>E13+M13</f>
        <v>6</v>
      </c>
      <c r="D13" s="964">
        <f>F13+N13</f>
        <v>30239663</v>
      </c>
      <c r="E13" s="1154">
        <f>5+1</f>
        <v>6</v>
      </c>
      <c r="F13" s="1153">
        <f>22718212+7521451</f>
        <v>30239663</v>
      </c>
      <c r="G13" s="1154">
        <v>0</v>
      </c>
      <c r="H13" s="1153">
        <v>0</v>
      </c>
      <c r="I13" s="1156">
        <v>0</v>
      </c>
      <c r="J13" s="998">
        <v>0</v>
      </c>
      <c r="K13" s="1156">
        <v>0</v>
      </c>
      <c r="L13" s="998">
        <v>0</v>
      </c>
      <c r="M13" s="1156">
        <v>0</v>
      </c>
      <c r="N13" s="998">
        <v>0</v>
      </c>
      <c r="O13" s="1156">
        <v>0</v>
      </c>
      <c r="P13" s="998">
        <v>0</v>
      </c>
      <c r="Q13" s="1156">
        <v>0</v>
      </c>
      <c r="R13" s="998"/>
      <c r="S13" s="1156">
        <v>0</v>
      </c>
      <c r="T13" s="998">
        <v>0</v>
      </c>
    </row>
    <row r="14" spans="1:20" s="568" customFormat="1" ht="18.75" customHeight="1">
      <c r="A14" s="725" t="s">
        <v>1</v>
      </c>
      <c r="B14" s="743" t="s">
        <v>19</v>
      </c>
      <c r="C14" s="964">
        <f>C15+C16+C17+C18+C19+C20+C21+C22+C23+C24</f>
        <v>71</v>
      </c>
      <c r="D14" s="964">
        <f aca="true" t="shared" si="1" ref="D14:T14">D15+D16+D17+D18+D19+D20+D21+D22+D23+D24</f>
        <v>1306426</v>
      </c>
      <c r="E14" s="1155">
        <f t="shared" si="1"/>
        <v>0</v>
      </c>
      <c r="F14" s="964">
        <f t="shared" si="1"/>
        <v>0</v>
      </c>
      <c r="G14" s="1155">
        <f t="shared" si="1"/>
        <v>0</v>
      </c>
      <c r="H14" s="964">
        <f t="shared" si="1"/>
        <v>0</v>
      </c>
      <c r="I14" s="1155">
        <f t="shared" si="1"/>
        <v>0</v>
      </c>
      <c r="J14" s="964">
        <f t="shared" si="1"/>
        <v>0</v>
      </c>
      <c r="K14" s="1155">
        <f t="shared" si="1"/>
        <v>0</v>
      </c>
      <c r="L14" s="964">
        <f t="shared" si="1"/>
        <v>0</v>
      </c>
      <c r="M14" s="1155">
        <f t="shared" si="1"/>
        <v>71</v>
      </c>
      <c r="N14" s="964">
        <f t="shared" si="1"/>
        <v>1306426</v>
      </c>
      <c r="O14" s="1155">
        <f t="shared" si="1"/>
        <v>71</v>
      </c>
      <c r="P14" s="964">
        <f t="shared" si="1"/>
        <v>1306426</v>
      </c>
      <c r="Q14" s="1155">
        <f t="shared" si="1"/>
        <v>0</v>
      </c>
      <c r="R14" s="964">
        <f t="shared" si="1"/>
        <v>0</v>
      </c>
      <c r="S14" s="1155">
        <f t="shared" si="1"/>
        <v>0</v>
      </c>
      <c r="T14" s="964">
        <f t="shared" si="1"/>
        <v>0</v>
      </c>
    </row>
    <row r="15" spans="1:20" s="568" customFormat="1" ht="18" customHeight="1">
      <c r="A15" s="283">
        <v>1</v>
      </c>
      <c r="B15" s="745" t="s">
        <v>748</v>
      </c>
      <c r="C15" s="964">
        <f>E15+M15</f>
        <v>0</v>
      </c>
      <c r="D15" s="964">
        <f>F15+N15</f>
        <v>0</v>
      </c>
      <c r="E15" s="1156">
        <v>0</v>
      </c>
      <c r="F15" s="998">
        <v>0</v>
      </c>
      <c r="G15" s="1156">
        <v>0</v>
      </c>
      <c r="H15" s="998">
        <v>0</v>
      </c>
      <c r="I15" s="1156">
        <v>0</v>
      </c>
      <c r="J15" s="998">
        <v>0</v>
      </c>
      <c r="K15" s="1156">
        <v>0</v>
      </c>
      <c r="L15" s="998">
        <v>0</v>
      </c>
      <c r="M15" s="1156">
        <v>0</v>
      </c>
      <c r="N15" s="998">
        <v>0</v>
      </c>
      <c r="O15" s="1156">
        <v>0</v>
      </c>
      <c r="P15" s="998">
        <v>0</v>
      </c>
      <c r="Q15" s="1156">
        <v>0</v>
      </c>
      <c r="R15" s="998">
        <v>0</v>
      </c>
      <c r="S15" s="1156">
        <v>0</v>
      </c>
      <c r="T15" s="998">
        <v>0</v>
      </c>
    </row>
    <row r="16" spans="1:20" s="568" customFormat="1" ht="19.5" customHeight="1">
      <c r="A16" s="283">
        <v>2</v>
      </c>
      <c r="B16" s="745" t="s">
        <v>749</v>
      </c>
      <c r="C16" s="964">
        <f aca="true" t="shared" si="2" ref="C16:D24">E16+M16</f>
        <v>0</v>
      </c>
      <c r="D16" s="964">
        <f t="shared" si="2"/>
        <v>0</v>
      </c>
      <c r="E16" s="1156">
        <v>0</v>
      </c>
      <c r="F16" s="998">
        <v>0</v>
      </c>
      <c r="G16" s="1156">
        <v>0</v>
      </c>
      <c r="H16" s="998">
        <v>0</v>
      </c>
      <c r="I16" s="1156">
        <v>0</v>
      </c>
      <c r="J16" s="998">
        <v>0</v>
      </c>
      <c r="K16" s="1156">
        <v>0</v>
      </c>
      <c r="L16" s="998">
        <v>0</v>
      </c>
      <c r="M16" s="1156">
        <v>0</v>
      </c>
      <c r="N16" s="998">
        <v>0</v>
      </c>
      <c r="O16" s="1156">
        <v>0</v>
      </c>
      <c r="P16" s="998">
        <v>0</v>
      </c>
      <c r="Q16" s="1156">
        <v>0</v>
      </c>
      <c r="R16" s="998">
        <v>0</v>
      </c>
      <c r="S16" s="1156">
        <v>0</v>
      </c>
      <c r="T16" s="998">
        <v>0</v>
      </c>
    </row>
    <row r="17" spans="1:20" s="568" customFormat="1" ht="19.5" customHeight="1">
      <c r="A17" s="283">
        <v>3</v>
      </c>
      <c r="B17" s="745" t="s">
        <v>750</v>
      </c>
      <c r="C17" s="964">
        <f t="shared" si="2"/>
        <v>68</v>
      </c>
      <c r="D17" s="964">
        <f t="shared" si="2"/>
        <v>1302526</v>
      </c>
      <c r="E17" s="1156">
        <v>0</v>
      </c>
      <c r="F17" s="998">
        <v>0</v>
      </c>
      <c r="G17" s="1156">
        <v>0</v>
      </c>
      <c r="H17" s="998">
        <v>0</v>
      </c>
      <c r="I17" s="1156">
        <v>0</v>
      </c>
      <c r="J17" s="998">
        <v>0</v>
      </c>
      <c r="K17" s="1156">
        <v>0</v>
      </c>
      <c r="L17" s="998">
        <v>0</v>
      </c>
      <c r="M17" s="1156">
        <v>68</v>
      </c>
      <c r="N17" s="998">
        <v>1302526</v>
      </c>
      <c r="O17" s="1156">
        <v>68</v>
      </c>
      <c r="P17" s="998">
        <v>1302526</v>
      </c>
      <c r="Q17" s="1156">
        <v>0</v>
      </c>
      <c r="R17" s="998">
        <v>0</v>
      </c>
      <c r="S17" s="1156">
        <v>0</v>
      </c>
      <c r="T17" s="998">
        <v>0</v>
      </c>
    </row>
    <row r="18" spans="1:20" s="568" customFormat="1" ht="19.5" customHeight="1">
      <c r="A18" s="283">
        <v>4</v>
      </c>
      <c r="B18" s="745" t="s">
        <v>751</v>
      </c>
      <c r="C18" s="964">
        <f t="shared" si="2"/>
        <v>0</v>
      </c>
      <c r="D18" s="964">
        <f t="shared" si="2"/>
        <v>0</v>
      </c>
      <c r="E18" s="1156">
        <v>0</v>
      </c>
      <c r="F18" s="998">
        <v>0</v>
      </c>
      <c r="G18" s="1156">
        <v>0</v>
      </c>
      <c r="H18" s="998">
        <v>0</v>
      </c>
      <c r="I18" s="1156">
        <v>0</v>
      </c>
      <c r="J18" s="998">
        <v>0</v>
      </c>
      <c r="K18" s="1156">
        <v>0</v>
      </c>
      <c r="L18" s="998">
        <v>0</v>
      </c>
      <c r="M18" s="1156">
        <v>0</v>
      </c>
      <c r="N18" s="998">
        <v>0</v>
      </c>
      <c r="O18" s="1156">
        <v>0</v>
      </c>
      <c r="P18" s="998">
        <v>0</v>
      </c>
      <c r="Q18" s="1156">
        <v>0</v>
      </c>
      <c r="R18" s="998">
        <v>0</v>
      </c>
      <c r="S18" s="1156">
        <v>0</v>
      </c>
      <c r="T18" s="998">
        <v>0</v>
      </c>
    </row>
    <row r="19" spans="1:20" s="568" customFormat="1" ht="18.75" customHeight="1">
      <c r="A19" s="283">
        <v>5</v>
      </c>
      <c r="B19" s="745" t="s">
        <v>752</v>
      </c>
      <c r="C19" s="964">
        <f t="shared" si="2"/>
        <v>0</v>
      </c>
      <c r="D19" s="964">
        <f t="shared" si="2"/>
        <v>0</v>
      </c>
      <c r="E19" s="1156">
        <v>0</v>
      </c>
      <c r="F19" s="998">
        <v>0</v>
      </c>
      <c r="G19" s="1156">
        <v>0</v>
      </c>
      <c r="H19" s="998">
        <v>0</v>
      </c>
      <c r="I19" s="1156">
        <v>0</v>
      </c>
      <c r="J19" s="998">
        <v>0</v>
      </c>
      <c r="K19" s="1156">
        <v>0</v>
      </c>
      <c r="L19" s="998">
        <v>0</v>
      </c>
      <c r="M19" s="1156">
        <v>0</v>
      </c>
      <c r="N19" s="998">
        <v>0</v>
      </c>
      <c r="O19" s="1156"/>
      <c r="P19" s="998">
        <v>0</v>
      </c>
      <c r="Q19" s="1156">
        <v>0</v>
      </c>
      <c r="R19" s="998">
        <v>0</v>
      </c>
      <c r="S19" s="1156">
        <v>0</v>
      </c>
      <c r="T19" s="998">
        <v>0</v>
      </c>
    </row>
    <row r="20" spans="1:20" s="568" customFormat="1" ht="19.5" customHeight="1">
      <c r="A20" s="283">
        <v>6</v>
      </c>
      <c r="B20" s="745" t="s">
        <v>753</v>
      </c>
      <c r="C20" s="964">
        <f t="shared" si="2"/>
        <v>0</v>
      </c>
      <c r="D20" s="964">
        <f t="shared" si="2"/>
        <v>0</v>
      </c>
      <c r="E20" s="1156">
        <v>0</v>
      </c>
      <c r="F20" s="998">
        <v>0</v>
      </c>
      <c r="G20" s="1156">
        <v>0</v>
      </c>
      <c r="H20" s="998">
        <v>0</v>
      </c>
      <c r="I20" s="1156">
        <v>0</v>
      </c>
      <c r="J20" s="998">
        <v>0</v>
      </c>
      <c r="K20" s="1156">
        <v>0</v>
      </c>
      <c r="L20" s="998">
        <v>0</v>
      </c>
      <c r="M20" s="1156">
        <v>0</v>
      </c>
      <c r="N20" s="998">
        <v>0</v>
      </c>
      <c r="O20" s="1156">
        <v>0</v>
      </c>
      <c r="P20" s="998">
        <v>0</v>
      </c>
      <c r="Q20" s="1156">
        <v>0</v>
      </c>
      <c r="R20" s="998">
        <v>0</v>
      </c>
      <c r="S20" s="1156">
        <v>0</v>
      </c>
      <c r="T20" s="998">
        <v>0</v>
      </c>
    </row>
    <row r="21" spans="1:20" s="568" customFormat="1" ht="18.75" customHeight="1">
      <c r="A21" s="283">
        <v>7</v>
      </c>
      <c r="B21" s="745" t="s">
        <v>754</v>
      </c>
      <c r="C21" s="964">
        <f t="shared" si="2"/>
        <v>0</v>
      </c>
      <c r="D21" s="964">
        <f t="shared" si="2"/>
        <v>0</v>
      </c>
      <c r="E21" s="1156">
        <v>0</v>
      </c>
      <c r="F21" s="998">
        <v>0</v>
      </c>
      <c r="G21" s="1156">
        <v>0</v>
      </c>
      <c r="H21" s="998">
        <v>0</v>
      </c>
      <c r="I21" s="1156">
        <v>0</v>
      </c>
      <c r="J21" s="998">
        <v>0</v>
      </c>
      <c r="K21" s="1156">
        <v>0</v>
      </c>
      <c r="L21" s="998">
        <v>0</v>
      </c>
      <c r="M21" s="1156">
        <v>0</v>
      </c>
      <c r="N21" s="998">
        <v>0</v>
      </c>
      <c r="O21" s="1156">
        <v>0</v>
      </c>
      <c r="P21" s="998">
        <v>0</v>
      </c>
      <c r="Q21" s="1156">
        <v>0</v>
      </c>
      <c r="R21" s="998">
        <v>0</v>
      </c>
      <c r="S21" s="1156">
        <v>0</v>
      </c>
      <c r="T21" s="998">
        <v>0</v>
      </c>
    </row>
    <row r="22" spans="1:20" s="568" customFormat="1" ht="18" customHeight="1">
      <c r="A22" s="283">
        <v>8</v>
      </c>
      <c r="B22" s="745" t="s">
        <v>755</v>
      </c>
      <c r="C22" s="964">
        <f t="shared" si="2"/>
        <v>0</v>
      </c>
      <c r="D22" s="964">
        <f t="shared" si="2"/>
        <v>0</v>
      </c>
      <c r="E22" s="1156">
        <v>0</v>
      </c>
      <c r="F22" s="998">
        <v>0</v>
      </c>
      <c r="G22" s="1156">
        <v>0</v>
      </c>
      <c r="H22" s="998">
        <v>0</v>
      </c>
      <c r="I22" s="1156">
        <v>0</v>
      </c>
      <c r="J22" s="998">
        <v>0</v>
      </c>
      <c r="K22" s="1156">
        <v>0</v>
      </c>
      <c r="L22" s="998">
        <v>0</v>
      </c>
      <c r="M22" s="1156">
        <v>0</v>
      </c>
      <c r="N22" s="998">
        <v>0</v>
      </c>
      <c r="O22" s="1156">
        <v>0</v>
      </c>
      <c r="P22" s="998">
        <v>0</v>
      </c>
      <c r="Q22" s="1156">
        <v>0</v>
      </c>
      <c r="R22" s="998">
        <v>0</v>
      </c>
      <c r="S22" s="1156">
        <v>0</v>
      </c>
      <c r="T22" s="998">
        <v>0</v>
      </c>
    </row>
    <row r="23" spans="1:20" s="568" customFormat="1" ht="19.5" customHeight="1">
      <c r="A23" s="283">
        <v>9</v>
      </c>
      <c r="B23" s="745" t="s">
        <v>756</v>
      </c>
      <c r="C23" s="964">
        <f>E23+M23</f>
        <v>3</v>
      </c>
      <c r="D23" s="964">
        <f>F23+N23</f>
        <v>3900</v>
      </c>
      <c r="E23" s="1156">
        <v>0</v>
      </c>
      <c r="F23" s="998">
        <v>0</v>
      </c>
      <c r="G23" s="1156">
        <v>0</v>
      </c>
      <c r="H23" s="998">
        <v>0</v>
      </c>
      <c r="I23" s="1156">
        <v>0</v>
      </c>
      <c r="J23" s="998">
        <v>0</v>
      </c>
      <c r="K23" s="1156">
        <v>0</v>
      </c>
      <c r="L23" s="998">
        <v>0</v>
      </c>
      <c r="M23" s="1156">
        <v>3</v>
      </c>
      <c r="N23" s="998">
        <v>3900</v>
      </c>
      <c r="O23" s="1156">
        <v>3</v>
      </c>
      <c r="P23" s="998">
        <v>3900</v>
      </c>
      <c r="Q23" s="1156">
        <v>0</v>
      </c>
      <c r="R23" s="998">
        <v>0</v>
      </c>
      <c r="S23" s="1156">
        <v>0</v>
      </c>
      <c r="T23" s="998">
        <v>0</v>
      </c>
    </row>
    <row r="24" spans="1:20" s="568" customFormat="1" ht="20.25" customHeight="1" thickBot="1">
      <c r="A24" s="729">
        <v>10</v>
      </c>
      <c r="B24" s="1005" t="s">
        <v>757</v>
      </c>
      <c r="C24" s="999">
        <f t="shared" si="2"/>
        <v>0</v>
      </c>
      <c r="D24" s="999">
        <f t="shared" si="2"/>
        <v>0</v>
      </c>
      <c r="E24" s="1157">
        <v>0</v>
      </c>
      <c r="F24" s="1000">
        <v>0</v>
      </c>
      <c r="G24" s="1157">
        <v>0</v>
      </c>
      <c r="H24" s="1000">
        <v>0</v>
      </c>
      <c r="I24" s="1157">
        <v>0</v>
      </c>
      <c r="J24" s="1000">
        <v>0</v>
      </c>
      <c r="K24" s="1157">
        <v>0</v>
      </c>
      <c r="L24" s="1000">
        <v>0</v>
      </c>
      <c r="M24" s="1157">
        <v>0</v>
      </c>
      <c r="N24" s="1000">
        <v>0</v>
      </c>
      <c r="O24" s="1157">
        <v>0</v>
      </c>
      <c r="P24" s="1000">
        <v>0</v>
      </c>
      <c r="Q24" s="1157">
        <v>0</v>
      </c>
      <c r="R24" s="1000">
        <v>0</v>
      </c>
      <c r="S24" s="1157">
        <v>0</v>
      </c>
      <c r="T24" s="1000">
        <v>0</v>
      </c>
    </row>
    <row r="25" spans="1:20" ht="17.25" customHeight="1" thickTop="1">
      <c r="A25" s="570"/>
      <c r="B25" s="1720"/>
      <c r="C25" s="1720"/>
      <c r="D25" s="1720"/>
      <c r="E25" s="1720"/>
      <c r="F25" s="1720"/>
      <c r="G25" s="1720"/>
      <c r="H25" s="945"/>
      <c r="I25" s="945"/>
      <c r="J25" s="676"/>
      <c r="K25" s="945"/>
      <c r="L25" s="1770" t="str">
        <f>'Thong tin'!B9</f>
        <v>Bình Thuận, ngày 04 tháng 10 năm 2016</v>
      </c>
      <c r="M25" s="1770"/>
      <c r="N25" s="1770"/>
      <c r="O25" s="1770"/>
      <c r="P25" s="1770"/>
      <c r="Q25" s="1770"/>
      <c r="R25" s="1770"/>
      <c r="S25" s="1770"/>
      <c r="T25" s="1770"/>
    </row>
    <row r="26" spans="1:20" ht="17.25" customHeight="1">
      <c r="A26" s="570"/>
      <c r="B26" s="1722" t="s">
        <v>43</v>
      </c>
      <c r="C26" s="1722"/>
      <c r="D26" s="1722"/>
      <c r="E26" s="1722"/>
      <c r="F26" s="1722"/>
      <c r="G26" s="1722"/>
      <c r="H26" s="947"/>
      <c r="I26" s="947"/>
      <c r="J26" s="947"/>
      <c r="K26" s="947"/>
      <c r="L26" s="1723" t="str">
        <f>'Thong tin'!B7</f>
        <v>KT. CỤC TRƯỞNG</v>
      </c>
      <c r="M26" s="1723"/>
      <c r="N26" s="1723"/>
      <c r="O26" s="1723"/>
      <c r="P26" s="1723"/>
      <c r="Q26" s="1723"/>
      <c r="R26" s="1723"/>
      <c r="S26" s="1723"/>
      <c r="T26" s="1723"/>
    </row>
    <row r="27" spans="1:20" s="647" customFormat="1" ht="16.5">
      <c r="A27" s="646"/>
      <c r="B27" s="1726"/>
      <c r="C27" s="1726"/>
      <c r="D27" s="1726"/>
      <c r="E27" s="1726"/>
      <c r="F27" s="1726"/>
      <c r="G27" s="1001"/>
      <c r="H27" s="1001"/>
      <c r="I27" s="1001"/>
      <c r="J27" s="1001"/>
      <c r="K27" s="1001"/>
      <c r="L27" s="1723" t="str">
        <f>'Thong tin'!B8</f>
        <v>PHÓ CỤC TRƯỞNG</v>
      </c>
      <c r="M27" s="1723"/>
      <c r="N27" s="1723"/>
      <c r="O27" s="1723"/>
      <c r="P27" s="1723"/>
      <c r="Q27" s="1723"/>
      <c r="R27" s="1723"/>
      <c r="S27" s="1723"/>
      <c r="T27" s="1723"/>
    </row>
    <row r="28" spans="1:20" s="647" customFormat="1" ht="16.5">
      <c r="A28" s="646"/>
      <c r="B28" s="949"/>
      <c r="C28" s="949"/>
      <c r="D28" s="949"/>
      <c r="E28" s="949"/>
      <c r="F28" s="949"/>
      <c r="G28" s="1001"/>
      <c r="H28" s="1001"/>
      <c r="I28" s="1001"/>
      <c r="J28" s="1001"/>
      <c r="K28" s="1001"/>
      <c r="L28" s="948"/>
      <c r="M28" s="948"/>
      <c r="N28" s="948"/>
      <c r="O28" s="948"/>
      <c r="P28" s="948"/>
      <c r="Q28" s="948"/>
      <c r="R28" s="948"/>
      <c r="S28" s="948"/>
      <c r="T28" s="948"/>
    </row>
    <row r="29" spans="1:20" s="647" customFormat="1" ht="16.5">
      <c r="A29" s="646"/>
      <c r="B29" s="949"/>
      <c r="C29" s="949"/>
      <c r="D29" s="949"/>
      <c r="E29" s="949"/>
      <c r="F29" s="949"/>
      <c r="G29" s="1001"/>
      <c r="H29" s="1001"/>
      <c r="I29" s="1001"/>
      <c r="J29" s="1001"/>
      <c r="K29" s="1001"/>
      <c r="L29" s="948"/>
      <c r="M29" s="948"/>
      <c r="N29" s="948"/>
      <c r="O29" s="948"/>
      <c r="P29" s="948"/>
      <c r="Q29" s="948"/>
      <c r="R29" s="948"/>
      <c r="S29" s="948"/>
      <c r="T29" s="948"/>
    </row>
    <row r="30" spans="1:20" s="647" customFormat="1" ht="16.5">
      <c r="A30" s="646"/>
      <c r="B30" s="1001"/>
      <c r="C30" s="1001"/>
      <c r="D30" s="1001"/>
      <c r="E30" s="1001"/>
      <c r="F30" s="1001"/>
      <c r="G30" s="1001"/>
      <c r="H30" s="1001"/>
      <c r="I30" s="1001"/>
      <c r="J30" s="1001"/>
      <c r="K30" s="1001"/>
      <c r="L30" s="1001"/>
      <c r="M30" s="1001"/>
      <c r="N30" s="1001"/>
      <c r="O30" s="1001"/>
      <c r="P30" s="1001"/>
      <c r="Q30" s="1001"/>
      <c r="R30" s="1001"/>
      <c r="S30" s="1001"/>
      <c r="T30" s="1001"/>
    </row>
    <row r="31" spans="2:20" ht="16.5">
      <c r="B31" s="676"/>
      <c r="C31" s="676"/>
      <c r="D31" s="676"/>
      <c r="E31" s="676"/>
      <c r="F31" s="676"/>
      <c r="G31" s="676"/>
      <c r="H31" s="676"/>
      <c r="I31" s="676"/>
      <c r="J31" s="676"/>
      <c r="K31" s="676"/>
      <c r="L31" s="676"/>
      <c r="M31" s="676"/>
      <c r="N31" s="676"/>
      <c r="O31" s="676"/>
      <c r="P31" s="676"/>
      <c r="Q31" s="676"/>
      <c r="R31" s="676"/>
      <c r="S31" s="676"/>
      <c r="T31" s="676"/>
    </row>
    <row r="32" spans="2:20" ht="16.5">
      <c r="B32" s="1651" t="str">
        <f>'Thong tin'!B5</f>
        <v>Trần Quốc Bảo</v>
      </c>
      <c r="C32" s="1651"/>
      <c r="D32" s="1651"/>
      <c r="E32" s="1651"/>
      <c r="F32" s="1651"/>
      <c r="G32" s="1651"/>
      <c r="H32" s="676"/>
      <c r="I32" s="676"/>
      <c r="J32" s="676"/>
      <c r="K32" s="676"/>
      <c r="L32" s="1651" t="str">
        <f>'Thong tin'!B6</f>
        <v>Trần Nam</v>
      </c>
      <c r="M32" s="1651"/>
      <c r="N32" s="1651"/>
      <c r="O32" s="1651"/>
      <c r="P32" s="1651"/>
      <c r="Q32" s="1651"/>
      <c r="R32" s="1651"/>
      <c r="S32" s="1651"/>
      <c r="T32" s="1651"/>
    </row>
    <row r="33" spans="2:20" ht="18.75">
      <c r="B33" s="571"/>
      <c r="C33" s="571"/>
      <c r="D33" s="571"/>
      <c r="E33" s="571"/>
      <c r="F33" s="571"/>
      <c r="G33" s="571"/>
      <c r="H33" s="640"/>
      <c r="I33" s="571"/>
      <c r="J33" s="571"/>
      <c r="K33" s="571"/>
      <c r="L33" s="571"/>
      <c r="M33" s="571"/>
      <c r="N33" s="571"/>
      <c r="O33" s="571"/>
      <c r="P33" s="571"/>
      <c r="Q33" s="571"/>
      <c r="R33" s="571"/>
      <c r="S33" s="571"/>
      <c r="T33" s="571"/>
    </row>
    <row r="34" spans="2:20" ht="18">
      <c r="B34" s="571"/>
      <c r="C34" s="571"/>
      <c r="D34" s="571"/>
      <c r="E34" s="571"/>
      <c r="F34" s="571"/>
      <c r="G34" s="571"/>
      <c r="H34" s="571"/>
      <c r="I34" s="571"/>
      <c r="J34" s="571"/>
      <c r="K34" s="571"/>
      <c r="L34" s="571"/>
      <c r="M34" s="571"/>
      <c r="N34" s="571"/>
      <c r="O34" s="571"/>
      <c r="P34" s="571"/>
      <c r="Q34" s="571"/>
      <c r="R34" s="571"/>
      <c r="S34" s="571"/>
      <c r="T34" s="571"/>
    </row>
  </sheetData>
  <sheetProtection/>
  <mergeCells count="35">
    <mergeCell ref="D7:D10"/>
    <mergeCell ref="B32:G32"/>
    <mergeCell ref="L32:T32"/>
    <mergeCell ref="B26:G26"/>
    <mergeCell ref="L26:T26"/>
    <mergeCell ref="B27:F27"/>
    <mergeCell ref="L27:T27"/>
    <mergeCell ref="A11:B11"/>
    <mergeCell ref="A12:B12"/>
    <mergeCell ref="B25:G25"/>
    <mergeCell ref="L25:T25"/>
    <mergeCell ref="E8:F8"/>
    <mergeCell ref="Q9:R9"/>
    <mergeCell ref="S9:T9"/>
    <mergeCell ref="E9:E10"/>
    <mergeCell ref="F9:F10"/>
    <mergeCell ref="I9:J9"/>
    <mergeCell ref="K9:L9"/>
    <mergeCell ref="A1:D1"/>
    <mergeCell ref="F5:O5"/>
    <mergeCell ref="A6:B10"/>
    <mergeCell ref="C6:D6"/>
    <mergeCell ref="E6:T6"/>
    <mergeCell ref="G9:H9"/>
    <mergeCell ref="C7:C10"/>
    <mergeCell ref="M9:M10"/>
    <mergeCell ref="N9:N10"/>
    <mergeCell ref="O9:P9"/>
    <mergeCell ref="E1:O3"/>
    <mergeCell ref="E4:O4"/>
    <mergeCell ref="G8:L8"/>
    <mergeCell ref="M8:N8"/>
    <mergeCell ref="O8:T8"/>
    <mergeCell ref="E7:L7"/>
    <mergeCell ref="M7:T7"/>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7"/>
  <sheetViews>
    <sheetView view="pageBreakPreview" zoomScaleSheetLayoutView="100" zoomScalePageLayoutView="0" workbookViewId="0" topLeftCell="A1">
      <selection activeCell="G27" sqref="G27"/>
    </sheetView>
  </sheetViews>
  <sheetFormatPr defaultColWidth="9.00390625" defaultRowHeight="15.75"/>
  <cols>
    <col min="1" max="1" width="3.75390625" style="657" customWidth="1"/>
    <col min="2" max="2" width="23.625" style="649" customWidth="1"/>
    <col min="3" max="3" width="10.75390625" style="649" customWidth="1"/>
    <col min="4" max="4" width="14.125" style="649" customWidth="1"/>
    <col min="5" max="5" width="9.125" style="649" customWidth="1"/>
    <col min="6" max="6" width="10.75390625" style="649" customWidth="1"/>
    <col min="7" max="9" width="9.875" style="649" customWidth="1"/>
    <col min="10" max="10" width="12.25390625" style="649" customWidth="1"/>
    <col min="11" max="11" width="9.25390625" style="649" customWidth="1"/>
    <col min="12" max="12" width="11.50390625" style="649" customWidth="1"/>
    <col min="13" max="16384" width="9.00390625" style="649" customWidth="1"/>
  </cols>
  <sheetData>
    <row r="1" spans="1:12" ht="20.25" customHeight="1">
      <c r="A1" s="705" t="s">
        <v>324</v>
      </c>
      <c r="B1" s="705"/>
      <c r="C1" s="705"/>
      <c r="D1" s="1778" t="s">
        <v>449</v>
      </c>
      <c r="E1" s="1778"/>
      <c r="F1" s="1778"/>
      <c r="G1" s="1778"/>
      <c r="H1" s="1778"/>
      <c r="I1" s="1778"/>
      <c r="J1" s="584" t="s">
        <v>450</v>
      </c>
      <c r="K1" s="648"/>
      <c r="L1" s="648"/>
    </row>
    <row r="2" spans="1:12" ht="18.75" customHeight="1">
      <c r="A2" s="699" t="s">
        <v>342</v>
      </c>
      <c r="B2" s="703"/>
      <c r="C2" s="703"/>
      <c r="D2" s="1845" t="s">
        <v>325</v>
      </c>
      <c r="E2" s="1845"/>
      <c r="F2" s="1845"/>
      <c r="G2" s="1845"/>
      <c r="H2" s="1845"/>
      <c r="I2" s="1845"/>
      <c r="J2" s="1821" t="str">
        <f>'Thong tin'!B4</f>
        <v>Cục THADS tỉnh Bình Thuận</v>
      </c>
      <c r="K2" s="1821"/>
      <c r="L2" s="1821"/>
    </row>
    <row r="3" spans="1:12" ht="17.25">
      <c r="A3" s="704" t="s">
        <v>343</v>
      </c>
      <c r="B3" s="704"/>
      <c r="C3" s="704"/>
      <c r="D3" s="1710" t="str">
        <f>'Thong tin'!B3</f>
        <v>12 tháng / năm 2016</v>
      </c>
      <c r="E3" s="1711"/>
      <c r="F3" s="1711"/>
      <c r="G3" s="1711"/>
      <c r="H3" s="1711"/>
      <c r="I3" s="1711"/>
      <c r="J3" s="587" t="s">
        <v>468</v>
      </c>
      <c r="K3" s="587"/>
      <c r="L3" s="587"/>
    </row>
    <row r="4" spans="1:12" ht="15.75">
      <c r="A4" s="706" t="s">
        <v>677</v>
      </c>
      <c r="B4" s="706"/>
      <c r="C4" s="706"/>
      <c r="D4" s="1848"/>
      <c r="E4" s="1848"/>
      <c r="F4" s="1848"/>
      <c r="G4" s="1848"/>
      <c r="H4" s="1848"/>
      <c r="I4" s="1848"/>
      <c r="J4" s="1732" t="s">
        <v>410</v>
      </c>
      <c r="K4" s="1732"/>
      <c r="L4" s="1732"/>
    </row>
    <row r="5" spans="1:12" ht="15.75">
      <c r="A5" s="650"/>
      <c r="B5" s="650"/>
      <c r="C5" s="651"/>
      <c r="D5" s="651"/>
      <c r="E5" s="586"/>
      <c r="J5" s="652" t="s">
        <v>454</v>
      </c>
      <c r="K5" s="621"/>
      <c r="L5" s="621"/>
    </row>
    <row r="6" spans="1:12" ht="24.75" customHeight="1">
      <c r="A6" s="1851" t="s">
        <v>72</v>
      </c>
      <c r="B6" s="1852"/>
      <c r="C6" s="1850" t="s">
        <v>455</v>
      </c>
      <c r="D6" s="1850"/>
      <c r="E6" s="1850"/>
      <c r="F6" s="1850"/>
      <c r="G6" s="1850"/>
      <c r="H6" s="1850"/>
      <c r="I6" s="1850" t="s">
        <v>326</v>
      </c>
      <c r="J6" s="1850"/>
      <c r="K6" s="1850"/>
      <c r="L6" s="1850"/>
    </row>
    <row r="7" spans="1:12" ht="17.25" customHeight="1">
      <c r="A7" s="1853"/>
      <c r="B7" s="1854"/>
      <c r="C7" s="1850" t="s">
        <v>38</v>
      </c>
      <c r="D7" s="1850"/>
      <c r="E7" s="1850" t="s">
        <v>7</v>
      </c>
      <c r="F7" s="1850"/>
      <c r="G7" s="1850"/>
      <c r="H7" s="1850"/>
      <c r="I7" s="1850" t="s">
        <v>327</v>
      </c>
      <c r="J7" s="1850"/>
      <c r="K7" s="1850" t="s">
        <v>328</v>
      </c>
      <c r="L7" s="1850"/>
    </row>
    <row r="8" spans="1:12" ht="31.5" customHeight="1">
      <c r="A8" s="1853"/>
      <c r="B8" s="1854"/>
      <c r="C8" s="1850"/>
      <c r="D8" s="1850"/>
      <c r="E8" s="1850" t="s">
        <v>329</v>
      </c>
      <c r="F8" s="1850"/>
      <c r="G8" s="1850" t="s">
        <v>330</v>
      </c>
      <c r="H8" s="1850"/>
      <c r="I8" s="1850"/>
      <c r="J8" s="1850"/>
      <c r="K8" s="1850"/>
      <c r="L8" s="1850"/>
    </row>
    <row r="9" spans="1:12" ht="24.75" customHeight="1">
      <c r="A9" s="1855"/>
      <c r="B9" s="1856"/>
      <c r="C9" s="653" t="s">
        <v>331</v>
      </c>
      <c r="D9" s="653" t="s">
        <v>10</v>
      </c>
      <c r="E9" s="653" t="s">
        <v>3</v>
      </c>
      <c r="F9" s="653" t="s">
        <v>332</v>
      </c>
      <c r="G9" s="653" t="s">
        <v>3</v>
      </c>
      <c r="H9" s="653" t="s">
        <v>332</v>
      </c>
      <c r="I9" s="653" t="s">
        <v>3</v>
      </c>
      <c r="J9" s="653" t="s">
        <v>332</v>
      </c>
      <c r="K9" s="653" t="s">
        <v>3</v>
      </c>
      <c r="L9" s="653" t="s">
        <v>332</v>
      </c>
    </row>
    <row r="10" spans="1:12" s="655" customFormat="1" ht="15.75">
      <c r="A10" s="1801" t="s">
        <v>6</v>
      </c>
      <c r="B10" s="1802"/>
      <c r="C10" s="654">
        <v>1</v>
      </c>
      <c r="D10" s="654">
        <v>2</v>
      </c>
      <c r="E10" s="654">
        <v>3</v>
      </c>
      <c r="F10" s="654">
        <v>4</v>
      </c>
      <c r="G10" s="654">
        <v>5</v>
      </c>
      <c r="H10" s="654">
        <v>6</v>
      </c>
      <c r="I10" s="654">
        <v>7</v>
      </c>
      <c r="J10" s="654">
        <v>8</v>
      </c>
      <c r="K10" s="654">
        <v>9</v>
      </c>
      <c r="L10" s="654">
        <v>10</v>
      </c>
    </row>
    <row r="11" spans="1:12" s="655" customFormat="1" ht="20.25" customHeight="1">
      <c r="A11" s="1846" t="s">
        <v>37</v>
      </c>
      <c r="B11" s="1847"/>
      <c r="C11" s="720">
        <f>C12+C13</f>
        <v>0</v>
      </c>
      <c r="D11" s="720">
        <f aca="true" t="shared" si="0" ref="D11:L11">D12+D13</f>
        <v>0</v>
      </c>
      <c r="E11" s="720">
        <f t="shared" si="0"/>
        <v>0</v>
      </c>
      <c r="F11" s="720">
        <f t="shared" si="0"/>
        <v>0</v>
      </c>
      <c r="G11" s="720">
        <f t="shared" si="0"/>
        <v>0</v>
      </c>
      <c r="H11" s="720">
        <f t="shared" si="0"/>
        <v>0</v>
      </c>
      <c r="I11" s="720">
        <f t="shared" si="0"/>
        <v>0</v>
      </c>
      <c r="J11" s="720">
        <f t="shared" si="0"/>
        <v>0</v>
      </c>
      <c r="K11" s="720">
        <f t="shared" si="0"/>
        <v>0</v>
      </c>
      <c r="L11" s="720">
        <f t="shared" si="0"/>
        <v>0</v>
      </c>
    </row>
    <row r="12" spans="1:12" s="656" customFormat="1" ht="20.25" customHeight="1">
      <c r="A12" s="734" t="s">
        <v>0</v>
      </c>
      <c r="B12" s="721" t="s">
        <v>98</v>
      </c>
      <c r="C12" s="735">
        <f>E12+G12</f>
        <v>0</v>
      </c>
      <c r="D12" s="735">
        <f>F12+H12</f>
        <v>0</v>
      </c>
      <c r="E12" s="736">
        <v>0</v>
      </c>
      <c r="F12" s="736">
        <v>0</v>
      </c>
      <c r="G12" s="736">
        <v>0</v>
      </c>
      <c r="H12" s="736">
        <v>0</v>
      </c>
      <c r="I12" s="736">
        <v>0</v>
      </c>
      <c r="J12" s="736">
        <v>0</v>
      </c>
      <c r="K12" s="736">
        <v>0</v>
      </c>
      <c r="L12" s="736">
        <v>0</v>
      </c>
    </row>
    <row r="13" spans="1:12" s="656" customFormat="1" ht="21" customHeight="1">
      <c r="A13" s="737" t="s">
        <v>1</v>
      </c>
      <c r="B13" s="726" t="s">
        <v>19</v>
      </c>
      <c r="C13" s="735">
        <f>C14+C15+C16+C17+C18+C19+C20+C21+C22+C23</f>
        <v>0</v>
      </c>
      <c r="D13" s="735">
        <f aca="true" t="shared" si="1" ref="D13:L13">D14+D15+D16+D17+D18+D19+D20+D21+D22+D23</f>
        <v>0</v>
      </c>
      <c r="E13" s="735">
        <f t="shared" si="1"/>
        <v>0</v>
      </c>
      <c r="F13" s="735">
        <f t="shared" si="1"/>
        <v>0</v>
      </c>
      <c r="G13" s="735">
        <f t="shared" si="1"/>
        <v>0</v>
      </c>
      <c r="H13" s="735">
        <f t="shared" si="1"/>
        <v>0</v>
      </c>
      <c r="I13" s="735">
        <f t="shared" si="1"/>
        <v>0</v>
      </c>
      <c r="J13" s="735">
        <f t="shared" si="1"/>
        <v>0</v>
      </c>
      <c r="K13" s="735">
        <f t="shared" si="1"/>
        <v>0</v>
      </c>
      <c r="L13" s="735">
        <f t="shared" si="1"/>
        <v>0</v>
      </c>
    </row>
    <row r="14" spans="1:12" s="656" customFormat="1" ht="19.5" customHeight="1">
      <c r="A14" s="738">
        <v>1</v>
      </c>
      <c r="B14" s="727" t="s">
        <v>748</v>
      </c>
      <c r="C14" s="735">
        <f>E14+G14</f>
        <v>0</v>
      </c>
      <c r="D14" s="735">
        <f>F14+H14</f>
        <v>0</v>
      </c>
      <c r="E14" s="736">
        <v>0</v>
      </c>
      <c r="F14" s="736">
        <v>0</v>
      </c>
      <c r="G14" s="736">
        <v>0</v>
      </c>
      <c r="H14" s="736">
        <v>0</v>
      </c>
      <c r="I14" s="736">
        <v>0</v>
      </c>
      <c r="J14" s="736">
        <v>0</v>
      </c>
      <c r="K14" s="736">
        <v>0</v>
      </c>
      <c r="L14" s="736">
        <v>0</v>
      </c>
    </row>
    <row r="15" spans="1:12" s="656" customFormat="1" ht="19.5" customHeight="1">
      <c r="A15" s="738">
        <v>2</v>
      </c>
      <c r="B15" s="745" t="s">
        <v>749</v>
      </c>
      <c r="C15" s="735">
        <f aca="true" t="shared" si="2" ref="C15:D23">E15+G15</f>
        <v>0</v>
      </c>
      <c r="D15" s="735">
        <f t="shared" si="2"/>
        <v>0</v>
      </c>
      <c r="E15" s="736">
        <v>0</v>
      </c>
      <c r="F15" s="736">
        <v>0</v>
      </c>
      <c r="G15" s="736">
        <v>0</v>
      </c>
      <c r="H15" s="736">
        <v>0</v>
      </c>
      <c r="I15" s="736">
        <v>0</v>
      </c>
      <c r="J15" s="736">
        <v>0</v>
      </c>
      <c r="K15" s="736">
        <v>0</v>
      </c>
      <c r="L15" s="736">
        <v>0</v>
      </c>
    </row>
    <row r="16" spans="1:12" s="656" customFormat="1" ht="20.25" customHeight="1">
      <c r="A16" s="738">
        <v>3</v>
      </c>
      <c r="B16" s="745" t="s">
        <v>750</v>
      </c>
      <c r="C16" s="735">
        <f t="shared" si="2"/>
        <v>0</v>
      </c>
      <c r="D16" s="735">
        <f t="shared" si="2"/>
        <v>0</v>
      </c>
      <c r="E16" s="736">
        <v>0</v>
      </c>
      <c r="F16" s="736">
        <v>0</v>
      </c>
      <c r="G16" s="736">
        <v>0</v>
      </c>
      <c r="H16" s="736">
        <v>0</v>
      </c>
      <c r="I16" s="736">
        <v>0</v>
      </c>
      <c r="J16" s="736">
        <v>0</v>
      </c>
      <c r="K16" s="736">
        <v>0</v>
      </c>
      <c r="L16" s="736">
        <v>0</v>
      </c>
    </row>
    <row r="17" spans="1:12" s="656" customFormat="1" ht="19.5" customHeight="1">
      <c r="A17" s="738">
        <v>4</v>
      </c>
      <c r="B17" s="745" t="s">
        <v>751</v>
      </c>
      <c r="C17" s="735">
        <f t="shared" si="2"/>
        <v>0</v>
      </c>
      <c r="D17" s="735">
        <f t="shared" si="2"/>
        <v>0</v>
      </c>
      <c r="E17" s="736">
        <v>0</v>
      </c>
      <c r="F17" s="736">
        <v>0</v>
      </c>
      <c r="G17" s="736">
        <v>0</v>
      </c>
      <c r="H17" s="736">
        <v>0</v>
      </c>
      <c r="I17" s="736">
        <v>0</v>
      </c>
      <c r="J17" s="736">
        <v>0</v>
      </c>
      <c r="K17" s="736">
        <v>0</v>
      </c>
      <c r="L17" s="736">
        <v>0</v>
      </c>
    </row>
    <row r="18" spans="1:12" s="656" customFormat="1" ht="20.25" customHeight="1">
      <c r="A18" s="738">
        <v>5</v>
      </c>
      <c r="B18" s="745" t="s">
        <v>752</v>
      </c>
      <c r="C18" s="735">
        <f t="shared" si="2"/>
        <v>0</v>
      </c>
      <c r="D18" s="735">
        <f t="shared" si="2"/>
        <v>0</v>
      </c>
      <c r="E18" s="736">
        <v>0</v>
      </c>
      <c r="F18" s="736">
        <v>0</v>
      </c>
      <c r="G18" s="736">
        <v>0</v>
      </c>
      <c r="H18" s="736">
        <v>0</v>
      </c>
      <c r="I18" s="736">
        <v>0</v>
      </c>
      <c r="J18" s="736">
        <v>0</v>
      </c>
      <c r="K18" s="736">
        <v>0</v>
      </c>
      <c r="L18" s="736">
        <v>0</v>
      </c>
    </row>
    <row r="19" spans="1:12" s="656" customFormat="1" ht="20.25" customHeight="1">
      <c r="A19" s="738">
        <v>6</v>
      </c>
      <c r="B19" s="745" t="s">
        <v>753</v>
      </c>
      <c r="C19" s="735">
        <f t="shared" si="2"/>
        <v>0</v>
      </c>
      <c r="D19" s="735">
        <f t="shared" si="2"/>
        <v>0</v>
      </c>
      <c r="E19" s="736">
        <v>0</v>
      </c>
      <c r="F19" s="736">
        <v>0</v>
      </c>
      <c r="G19" s="736">
        <v>0</v>
      </c>
      <c r="H19" s="736">
        <v>0</v>
      </c>
      <c r="I19" s="736">
        <v>0</v>
      </c>
      <c r="J19" s="736">
        <v>0</v>
      </c>
      <c r="K19" s="736">
        <v>0</v>
      </c>
      <c r="L19" s="736">
        <v>0</v>
      </c>
    </row>
    <row r="20" spans="1:12" s="656" customFormat="1" ht="21" customHeight="1">
      <c r="A20" s="738">
        <v>7</v>
      </c>
      <c r="B20" s="745" t="s">
        <v>754</v>
      </c>
      <c r="C20" s="735">
        <f t="shared" si="2"/>
        <v>0</v>
      </c>
      <c r="D20" s="735">
        <f t="shared" si="2"/>
        <v>0</v>
      </c>
      <c r="E20" s="736">
        <v>0</v>
      </c>
      <c r="F20" s="736">
        <v>0</v>
      </c>
      <c r="G20" s="736">
        <v>0</v>
      </c>
      <c r="H20" s="736">
        <v>0</v>
      </c>
      <c r="I20" s="736">
        <v>0</v>
      </c>
      <c r="J20" s="736">
        <v>0</v>
      </c>
      <c r="K20" s="736">
        <v>0</v>
      </c>
      <c r="L20" s="736">
        <v>0</v>
      </c>
    </row>
    <row r="21" spans="1:12" s="656" customFormat="1" ht="20.25" customHeight="1">
      <c r="A21" s="738">
        <v>8</v>
      </c>
      <c r="B21" s="745" t="s">
        <v>755</v>
      </c>
      <c r="C21" s="735">
        <f t="shared" si="2"/>
        <v>0</v>
      </c>
      <c r="D21" s="735">
        <f t="shared" si="2"/>
        <v>0</v>
      </c>
      <c r="E21" s="736">
        <v>0</v>
      </c>
      <c r="F21" s="736">
        <v>0</v>
      </c>
      <c r="G21" s="736">
        <v>0</v>
      </c>
      <c r="H21" s="736">
        <v>0</v>
      </c>
      <c r="I21" s="736">
        <v>0</v>
      </c>
      <c r="J21" s="736">
        <v>0</v>
      </c>
      <c r="K21" s="736">
        <v>0</v>
      </c>
      <c r="L21" s="736">
        <v>0</v>
      </c>
    </row>
    <row r="22" spans="1:12" ht="20.25" customHeight="1">
      <c r="A22" s="738">
        <v>9</v>
      </c>
      <c r="B22" s="745" t="s">
        <v>756</v>
      </c>
      <c r="C22" s="735">
        <f t="shared" si="2"/>
        <v>0</v>
      </c>
      <c r="D22" s="735">
        <f t="shared" si="2"/>
        <v>0</v>
      </c>
      <c r="E22" s="736">
        <v>0</v>
      </c>
      <c r="F22" s="736">
        <v>0</v>
      </c>
      <c r="G22" s="736">
        <v>0</v>
      </c>
      <c r="H22" s="736">
        <v>0</v>
      </c>
      <c r="I22" s="736">
        <v>0</v>
      </c>
      <c r="J22" s="736">
        <v>0</v>
      </c>
      <c r="K22" s="736">
        <v>0</v>
      </c>
      <c r="L22" s="736">
        <v>0</v>
      </c>
    </row>
    <row r="23" spans="1:12" s="585" customFormat="1" ht="20.25" customHeight="1" thickBot="1">
      <c r="A23" s="739">
        <v>10</v>
      </c>
      <c r="B23" s="1005" t="s">
        <v>757</v>
      </c>
      <c r="C23" s="740">
        <f t="shared" si="2"/>
        <v>0</v>
      </c>
      <c r="D23" s="740">
        <f t="shared" si="2"/>
        <v>0</v>
      </c>
      <c r="E23" s="741">
        <v>0</v>
      </c>
      <c r="F23" s="741">
        <v>0</v>
      </c>
      <c r="G23" s="741">
        <v>0</v>
      </c>
      <c r="H23" s="741">
        <v>0</v>
      </c>
      <c r="I23" s="741">
        <v>0</v>
      </c>
      <c r="J23" s="741">
        <v>0</v>
      </c>
      <c r="K23" s="741">
        <v>0</v>
      </c>
      <c r="L23" s="741">
        <v>0</v>
      </c>
    </row>
    <row r="24" spans="1:12" s="585" customFormat="1" ht="16.5" customHeight="1" thickTop="1">
      <c r="A24" s="599"/>
      <c r="B24" s="604"/>
      <c r="C24" s="604"/>
      <c r="D24" s="604"/>
      <c r="E24" s="685"/>
      <c r="F24" s="601"/>
      <c r="G24" s="601"/>
      <c r="H24" s="1843" t="str">
        <f>'Thong tin'!B9</f>
        <v>Bình Thuận, ngày 04 tháng 10 năm 2016</v>
      </c>
      <c r="I24" s="1843"/>
      <c r="J24" s="1843"/>
      <c r="K24" s="1843"/>
      <c r="L24" s="1843"/>
    </row>
    <row r="25" spans="1:12" s="585" customFormat="1" ht="19.5" customHeight="1">
      <c r="A25" s="599"/>
      <c r="B25" s="1858" t="s">
        <v>333</v>
      </c>
      <c r="C25" s="1858"/>
      <c r="D25" s="1858"/>
      <c r="E25" s="685"/>
      <c r="F25" s="601"/>
      <c r="G25" s="601"/>
      <c r="H25" s="1844" t="str">
        <f>'Thong tin'!B7</f>
        <v>KT. CỤC TRƯỞNG</v>
      </c>
      <c r="I25" s="1844"/>
      <c r="J25" s="1844"/>
      <c r="K25" s="1844"/>
      <c r="L25" s="1844"/>
    </row>
    <row r="26" spans="1:12" s="585" customFormat="1" ht="15" customHeight="1">
      <c r="A26" s="599"/>
      <c r="B26" s="602"/>
      <c r="C26" s="602"/>
      <c r="D26" s="685"/>
      <c r="E26" s="685"/>
      <c r="F26" s="601"/>
      <c r="G26" s="601"/>
      <c r="H26" s="1844" t="str">
        <f>'Thong tin'!B8</f>
        <v>PHÓ CỤC TRƯỞNG</v>
      </c>
      <c r="I26" s="1844"/>
      <c r="J26" s="1844"/>
      <c r="K26" s="1844"/>
      <c r="L26" s="1844"/>
    </row>
    <row r="27" spans="1:12" s="585" customFormat="1" ht="15" customHeight="1">
      <c r="A27" s="599"/>
      <c r="B27" s="602"/>
      <c r="C27" s="602"/>
      <c r="D27" s="685"/>
      <c r="E27" s="685"/>
      <c r="F27" s="601"/>
      <c r="G27" s="601"/>
      <c r="H27" s="603"/>
      <c r="I27" s="603"/>
      <c r="J27" s="603"/>
      <c r="K27" s="603"/>
      <c r="L27" s="603"/>
    </row>
    <row r="28" spans="2:12" ht="19.5">
      <c r="B28" s="1849"/>
      <c r="C28" s="1849"/>
      <c r="D28" s="1849"/>
      <c r="E28" s="684"/>
      <c r="F28" s="684"/>
      <c r="G28" s="684"/>
      <c r="H28" s="684"/>
      <c r="I28" s="684"/>
      <c r="J28" s="686"/>
      <c r="K28" s="684"/>
      <c r="L28" s="684"/>
    </row>
    <row r="29" spans="2:12" ht="18.75">
      <c r="B29" s="684"/>
      <c r="C29" s="684"/>
      <c r="D29" s="684"/>
      <c r="E29" s="684"/>
      <c r="F29" s="684"/>
      <c r="G29" s="684"/>
      <c r="H29" s="684"/>
      <c r="I29" s="684"/>
      <c r="J29" s="684"/>
      <c r="K29" s="684"/>
      <c r="L29" s="684"/>
    </row>
    <row r="30" spans="2:12" ht="18.75">
      <c r="B30" s="684"/>
      <c r="C30" s="684"/>
      <c r="D30" s="684"/>
      <c r="E30" s="684"/>
      <c r="F30" s="684"/>
      <c r="G30" s="684"/>
      <c r="H30" s="684"/>
      <c r="I30" s="684"/>
      <c r="J30" s="684"/>
      <c r="K30" s="684"/>
      <c r="L30" s="684"/>
    </row>
    <row r="31" spans="1:12" s="572" customFormat="1" ht="18.75" hidden="1">
      <c r="A31" s="620" t="s">
        <v>47</v>
      </c>
      <c r="B31" s="674"/>
      <c r="C31" s="674"/>
      <c r="D31" s="674"/>
      <c r="E31" s="674"/>
      <c r="F31" s="674"/>
      <c r="G31" s="674"/>
      <c r="H31" s="674"/>
      <c r="I31" s="674"/>
      <c r="J31" s="674"/>
      <c r="K31" s="674"/>
      <c r="L31" s="674"/>
    </row>
    <row r="32" spans="1:12" s="572" customFormat="1" ht="15" customHeight="1" hidden="1">
      <c r="A32" s="575"/>
      <c r="B32" s="1859" t="s">
        <v>334</v>
      </c>
      <c r="C32" s="1859"/>
      <c r="D32" s="1859"/>
      <c r="E32" s="1859"/>
      <c r="F32" s="1859"/>
      <c r="G32" s="1859"/>
      <c r="H32" s="1859"/>
      <c r="I32" s="1859"/>
      <c r="J32" s="1859"/>
      <c r="K32" s="687"/>
      <c r="L32" s="600"/>
    </row>
    <row r="33" spans="2:12" s="572" customFormat="1" ht="18.75" hidden="1">
      <c r="B33" s="679" t="s">
        <v>335</v>
      </c>
      <c r="C33" s="674"/>
      <c r="D33" s="674"/>
      <c r="E33" s="674"/>
      <c r="F33" s="674"/>
      <c r="G33" s="674"/>
      <c r="H33" s="674"/>
      <c r="I33" s="674"/>
      <c r="J33" s="674"/>
      <c r="K33" s="674"/>
      <c r="L33" s="674"/>
    </row>
    <row r="34" spans="2:12" ht="18.75" hidden="1">
      <c r="B34" s="679" t="s">
        <v>336</v>
      </c>
      <c r="C34" s="684"/>
      <c r="D34" s="684"/>
      <c r="E34" s="684"/>
      <c r="F34" s="684"/>
      <c r="G34" s="684"/>
      <c r="H34" s="684"/>
      <c r="I34" s="684"/>
      <c r="J34" s="684"/>
      <c r="K34" s="684"/>
      <c r="L34" s="684"/>
    </row>
    <row r="35" spans="2:12" ht="18.75" hidden="1">
      <c r="B35" s="684"/>
      <c r="C35" s="684"/>
      <c r="D35" s="684"/>
      <c r="E35" s="684"/>
      <c r="F35" s="684"/>
      <c r="G35" s="684"/>
      <c r="H35" s="684"/>
      <c r="I35" s="684"/>
      <c r="J35" s="684"/>
      <c r="K35" s="684"/>
      <c r="L35" s="684"/>
    </row>
    <row r="36" spans="2:12" ht="18.75">
      <c r="B36" s="1857" t="str">
        <f>'Thong tin'!B5</f>
        <v>Trần Quốc Bảo</v>
      </c>
      <c r="C36" s="1857"/>
      <c r="D36" s="1857"/>
      <c r="E36" s="680"/>
      <c r="F36" s="680"/>
      <c r="G36" s="674"/>
      <c r="H36" s="1857" t="str">
        <f>'Thong tin'!B6</f>
        <v>Trần Nam</v>
      </c>
      <c r="I36" s="1857"/>
      <c r="J36" s="1857"/>
      <c r="K36" s="1857"/>
      <c r="L36" s="1857"/>
    </row>
    <row r="37" spans="2:12" ht="18.75">
      <c r="B37" s="658"/>
      <c r="C37" s="658"/>
      <c r="D37" s="658"/>
      <c r="E37" s="658"/>
      <c r="F37" s="658"/>
      <c r="G37" s="658"/>
      <c r="H37" s="658"/>
      <c r="I37" s="658"/>
      <c r="J37" s="658"/>
      <c r="K37" s="658"/>
      <c r="L37" s="658"/>
    </row>
  </sheetData>
  <sheetProtection/>
  <mergeCells count="25">
    <mergeCell ref="B36:D36"/>
    <mergeCell ref="H36:L36"/>
    <mergeCell ref="B25:D25"/>
    <mergeCell ref="H25:L25"/>
    <mergeCell ref="B32:J32"/>
    <mergeCell ref="A6:B9"/>
    <mergeCell ref="C6:H6"/>
    <mergeCell ref="I6:L6"/>
    <mergeCell ref="K7:L8"/>
    <mergeCell ref="A10:B10"/>
    <mergeCell ref="A11:B11"/>
    <mergeCell ref="D4:I4"/>
    <mergeCell ref="B28:D28"/>
    <mergeCell ref="C7:D8"/>
    <mergeCell ref="E7:H7"/>
    <mergeCell ref="I7:J8"/>
    <mergeCell ref="E8:F8"/>
    <mergeCell ref="G8:H8"/>
    <mergeCell ref="J4:L4"/>
    <mergeCell ref="H24:L24"/>
    <mergeCell ref="H26:L26"/>
    <mergeCell ref="D1:I1"/>
    <mergeCell ref="D2:I2"/>
    <mergeCell ref="J2:L2"/>
    <mergeCell ref="D3:I3"/>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30"/>
  <sheetViews>
    <sheetView view="pageBreakPreview" zoomScaleSheetLayoutView="100" zoomScalePageLayoutView="0" workbookViewId="0" topLeftCell="A1">
      <selection activeCell="A6" sqref="A6:B9"/>
    </sheetView>
  </sheetViews>
  <sheetFormatPr defaultColWidth="9.00390625" defaultRowHeight="15.75"/>
  <cols>
    <col min="1" max="1" width="4.25390625" style="585" customWidth="1"/>
    <col min="2" max="2" width="28.50390625" style="585" customWidth="1"/>
    <col min="3" max="3" width="12.25390625" style="585" customWidth="1"/>
    <col min="4" max="4" width="12.75390625" style="585" customWidth="1"/>
    <col min="5" max="5" width="13.00390625" style="585" customWidth="1"/>
    <col min="6" max="6" width="12.75390625" style="585" customWidth="1"/>
    <col min="7" max="7" width="12.875" style="585" customWidth="1"/>
    <col min="8" max="8" width="11.625" style="585" customWidth="1"/>
    <col min="9" max="9" width="12.625" style="585" customWidth="1"/>
    <col min="10" max="10" width="13.875" style="585" customWidth="1"/>
    <col min="11" max="16384" width="9.00390625" style="585" customWidth="1"/>
  </cols>
  <sheetData>
    <row r="1" spans="1:10" ht="16.5" customHeight="1">
      <c r="A1" s="1861" t="s">
        <v>638</v>
      </c>
      <c r="B1" s="1861"/>
      <c r="C1" s="1866" t="s">
        <v>639</v>
      </c>
      <c r="D1" s="1866"/>
      <c r="E1" s="1866"/>
      <c r="F1" s="1866"/>
      <c r="G1" s="1866"/>
      <c r="H1" s="1866"/>
      <c r="I1" s="1862" t="s">
        <v>672</v>
      </c>
      <c r="J1" s="1821"/>
    </row>
    <row r="2" spans="1:10" ht="15" customHeight="1">
      <c r="A2" s="699" t="s">
        <v>342</v>
      </c>
      <c r="B2" s="700"/>
      <c r="C2" s="1866"/>
      <c r="D2" s="1866"/>
      <c r="E2" s="1866"/>
      <c r="F2" s="1866"/>
      <c r="G2" s="1866"/>
      <c r="H2" s="1866"/>
      <c r="I2" s="649" t="str">
        <f>'Thong tin'!B4</f>
        <v>Cục THADS tỉnh Bình Thuận</v>
      </c>
      <c r="J2" s="649"/>
    </row>
    <row r="3" spans="1:10" ht="15" customHeight="1">
      <c r="A3" s="699" t="s">
        <v>343</v>
      </c>
      <c r="B3" s="699"/>
      <c r="C3" s="1863" t="str">
        <f>'Thong tin'!B3</f>
        <v>12 tháng / năm 2016</v>
      </c>
      <c r="D3" s="1864"/>
      <c r="E3" s="1864"/>
      <c r="F3" s="1864"/>
      <c r="G3" s="1864"/>
      <c r="H3" s="1864"/>
      <c r="I3" s="1865" t="s">
        <v>640</v>
      </c>
      <c r="J3" s="1865"/>
    </row>
    <row r="4" spans="1:9" ht="15" customHeight="1">
      <c r="A4" s="1860" t="s">
        <v>679</v>
      </c>
      <c r="B4" s="1860"/>
      <c r="C4" s="1867"/>
      <c r="D4" s="1867"/>
      <c r="E4" s="1867"/>
      <c r="F4" s="1867"/>
      <c r="G4" s="1867"/>
      <c r="H4" s="1867"/>
      <c r="I4" s="649" t="s">
        <v>410</v>
      </c>
    </row>
    <row r="5" spans="1:10" ht="15" customHeight="1" thickBot="1">
      <c r="A5" s="1868"/>
      <c r="B5" s="1868"/>
      <c r="C5" s="659"/>
      <c r="D5" s="659"/>
      <c r="E5" s="659"/>
      <c r="F5" s="659"/>
      <c r="G5" s="659"/>
      <c r="H5" s="660"/>
      <c r="I5" s="1869" t="s">
        <v>641</v>
      </c>
      <c r="J5" s="1869"/>
    </row>
    <row r="6" spans="1:10" ht="30" customHeight="1" thickTop="1">
      <c r="A6" s="1870" t="s">
        <v>72</v>
      </c>
      <c r="B6" s="1871"/>
      <c r="C6" s="1874" t="s">
        <v>642</v>
      </c>
      <c r="D6" s="1874"/>
      <c r="E6" s="1874"/>
      <c r="F6" s="1874" t="s">
        <v>643</v>
      </c>
      <c r="G6" s="1874"/>
      <c r="H6" s="1874"/>
      <c r="I6" s="1874"/>
      <c r="J6" s="1875" t="s">
        <v>644</v>
      </c>
    </row>
    <row r="7" spans="1:10" ht="24" customHeight="1">
      <c r="A7" s="1872"/>
      <c r="B7" s="1873"/>
      <c r="C7" s="1877" t="s">
        <v>227</v>
      </c>
      <c r="D7" s="1877" t="s">
        <v>7</v>
      </c>
      <c r="E7" s="1877"/>
      <c r="F7" s="1877" t="s">
        <v>645</v>
      </c>
      <c r="G7" s="1877"/>
      <c r="H7" s="1877"/>
      <c r="I7" s="1877" t="s">
        <v>646</v>
      </c>
      <c r="J7" s="1876"/>
    </row>
    <row r="8" spans="1:10" ht="24" customHeight="1">
      <c r="A8" s="1872"/>
      <c r="B8" s="1873"/>
      <c r="C8" s="1877"/>
      <c r="D8" s="1877" t="s">
        <v>647</v>
      </c>
      <c r="E8" s="1877" t="s">
        <v>648</v>
      </c>
      <c r="F8" s="1877" t="s">
        <v>37</v>
      </c>
      <c r="G8" s="1877" t="s">
        <v>7</v>
      </c>
      <c r="H8" s="1877"/>
      <c r="I8" s="1877"/>
      <c r="J8" s="1876"/>
    </row>
    <row r="9" spans="1:10" ht="45.75" customHeight="1">
      <c r="A9" s="1872"/>
      <c r="B9" s="1873"/>
      <c r="C9" s="1877"/>
      <c r="D9" s="1878"/>
      <c r="E9" s="1877"/>
      <c r="F9" s="1877"/>
      <c r="G9" s="661" t="s">
        <v>649</v>
      </c>
      <c r="H9" s="661" t="s">
        <v>650</v>
      </c>
      <c r="I9" s="1877"/>
      <c r="J9" s="1876"/>
    </row>
    <row r="10" spans="1:10" ht="14.25" customHeight="1">
      <c r="A10" s="1879" t="s">
        <v>651</v>
      </c>
      <c r="B10" s="1880"/>
      <c r="C10" s="662">
        <v>1</v>
      </c>
      <c r="D10" s="662">
        <v>2</v>
      </c>
      <c r="E10" s="662">
        <v>3</v>
      </c>
      <c r="F10" s="662">
        <v>4</v>
      </c>
      <c r="G10" s="662">
        <v>5</v>
      </c>
      <c r="H10" s="662">
        <v>6</v>
      </c>
      <c r="I10" s="662">
        <v>7</v>
      </c>
      <c r="J10" s="663">
        <v>8</v>
      </c>
    </row>
    <row r="11" spans="1:10" s="592" customFormat="1" ht="20.25" customHeight="1">
      <c r="A11" s="1881" t="s">
        <v>38</v>
      </c>
      <c r="B11" s="1882"/>
      <c r="C11" s="720">
        <f>C13+C12</f>
        <v>0</v>
      </c>
      <c r="D11" s="720">
        <f aca="true" t="shared" si="0" ref="D11:J11">D13+D12</f>
        <v>0</v>
      </c>
      <c r="E11" s="720">
        <f t="shared" si="0"/>
        <v>0</v>
      </c>
      <c r="F11" s="720">
        <f t="shared" si="0"/>
        <v>0</v>
      </c>
      <c r="G11" s="720">
        <f t="shared" si="0"/>
        <v>0</v>
      </c>
      <c r="H11" s="720">
        <f t="shared" si="0"/>
        <v>0</v>
      </c>
      <c r="I11" s="720">
        <f t="shared" si="0"/>
        <v>0</v>
      </c>
      <c r="J11" s="720">
        <f t="shared" si="0"/>
        <v>0</v>
      </c>
    </row>
    <row r="12" spans="1:10" s="592" customFormat="1" ht="20.25" customHeight="1">
      <c r="A12" s="206" t="s">
        <v>0</v>
      </c>
      <c r="B12" s="721" t="s">
        <v>293</v>
      </c>
      <c r="C12" s="722">
        <f>D12+E12</f>
        <v>0</v>
      </c>
      <c r="D12" s="723">
        <v>0</v>
      </c>
      <c r="E12" s="723">
        <v>0</v>
      </c>
      <c r="F12" s="722">
        <f>G12+H12</f>
        <v>0</v>
      </c>
      <c r="G12" s="723">
        <v>0</v>
      </c>
      <c r="H12" s="724">
        <v>0</v>
      </c>
      <c r="I12" s="724">
        <v>0</v>
      </c>
      <c r="J12" s="724">
        <v>0</v>
      </c>
    </row>
    <row r="13" spans="1:10" s="592" customFormat="1" ht="21" customHeight="1">
      <c r="A13" s="725" t="s">
        <v>1</v>
      </c>
      <c r="B13" s="726" t="s">
        <v>19</v>
      </c>
      <c r="C13" s="722">
        <f>C14+C15+C16+C17+C18+C19+C20+C21+C22+C23</f>
        <v>0</v>
      </c>
      <c r="D13" s="722">
        <f aca="true" t="shared" si="1" ref="D13:J13">D14+D15+D16+D17+D18+D19+D20+D21+D22+D23</f>
        <v>0</v>
      </c>
      <c r="E13" s="722">
        <f t="shared" si="1"/>
        <v>0</v>
      </c>
      <c r="F13" s="722">
        <f t="shared" si="1"/>
        <v>0</v>
      </c>
      <c r="G13" s="722">
        <f t="shared" si="1"/>
        <v>0</v>
      </c>
      <c r="H13" s="722">
        <f t="shared" si="1"/>
        <v>0</v>
      </c>
      <c r="I13" s="722">
        <f t="shared" si="1"/>
        <v>0</v>
      </c>
      <c r="J13" s="722">
        <f t="shared" si="1"/>
        <v>0</v>
      </c>
    </row>
    <row r="14" spans="1:10" s="592" customFormat="1" ht="19.5" customHeight="1">
      <c r="A14" s="283">
        <v>1</v>
      </c>
      <c r="B14" s="727" t="s">
        <v>748</v>
      </c>
      <c r="C14" s="722">
        <f>D14+E14</f>
        <v>0</v>
      </c>
      <c r="D14" s="728">
        <v>0</v>
      </c>
      <c r="E14" s="724">
        <v>0</v>
      </c>
      <c r="F14" s="722">
        <f>G14+H14</f>
        <v>0</v>
      </c>
      <c r="G14" s="723">
        <v>0</v>
      </c>
      <c r="H14" s="724">
        <v>0</v>
      </c>
      <c r="I14" s="724">
        <v>0</v>
      </c>
      <c r="J14" s="724">
        <v>0</v>
      </c>
    </row>
    <row r="15" spans="1:10" s="592" customFormat="1" ht="20.25" customHeight="1">
      <c r="A15" s="283">
        <v>2</v>
      </c>
      <c r="B15" s="745" t="s">
        <v>749</v>
      </c>
      <c r="C15" s="722">
        <f aca="true" t="shared" si="2" ref="C15:C23">D15+E15</f>
        <v>0</v>
      </c>
      <c r="D15" s="728">
        <v>0</v>
      </c>
      <c r="E15" s="724">
        <v>0</v>
      </c>
      <c r="F15" s="722">
        <f aca="true" t="shared" si="3" ref="F15:F23">G15+H15</f>
        <v>0</v>
      </c>
      <c r="G15" s="723">
        <v>0</v>
      </c>
      <c r="H15" s="724">
        <v>0</v>
      </c>
      <c r="I15" s="724">
        <v>0</v>
      </c>
      <c r="J15" s="724">
        <v>0</v>
      </c>
    </row>
    <row r="16" spans="1:10" s="592" customFormat="1" ht="19.5" customHeight="1">
      <c r="A16" s="283">
        <v>3</v>
      </c>
      <c r="B16" s="745" t="s">
        <v>750</v>
      </c>
      <c r="C16" s="722">
        <f t="shared" si="2"/>
        <v>0</v>
      </c>
      <c r="D16" s="728">
        <v>0</v>
      </c>
      <c r="E16" s="724">
        <v>0</v>
      </c>
      <c r="F16" s="722">
        <f t="shared" si="3"/>
        <v>0</v>
      </c>
      <c r="G16" s="723">
        <v>0</v>
      </c>
      <c r="H16" s="724">
        <v>0</v>
      </c>
      <c r="I16" s="724">
        <v>0</v>
      </c>
      <c r="J16" s="724">
        <v>0</v>
      </c>
    </row>
    <row r="17" spans="1:10" s="592" customFormat="1" ht="20.25" customHeight="1">
      <c r="A17" s="283">
        <v>4</v>
      </c>
      <c r="B17" s="745" t="s">
        <v>751</v>
      </c>
      <c r="C17" s="722">
        <f t="shared" si="2"/>
        <v>0</v>
      </c>
      <c r="D17" s="728">
        <v>0</v>
      </c>
      <c r="E17" s="724">
        <v>0</v>
      </c>
      <c r="F17" s="722">
        <f t="shared" si="3"/>
        <v>0</v>
      </c>
      <c r="G17" s="723">
        <v>0</v>
      </c>
      <c r="H17" s="724">
        <v>0</v>
      </c>
      <c r="I17" s="724">
        <v>0</v>
      </c>
      <c r="J17" s="724">
        <v>0</v>
      </c>
    </row>
    <row r="18" spans="1:10" s="592" customFormat="1" ht="19.5" customHeight="1">
      <c r="A18" s="283">
        <v>5</v>
      </c>
      <c r="B18" s="745" t="s">
        <v>752</v>
      </c>
      <c r="C18" s="722">
        <f t="shared" si="2"/>
        <v>0</v>
      </c>
      <c r="D18" s="728">
        <v>0</v>
      </c>
      <c r="E18" s="724">
        <v>0</v>
      </c>
      <c r="F18" s="722">
        <f t="shared" si="3"/>
        <v>0</v>
      </c>
      <c r="G18" s="723">
        <v>0</v>
      </c>
      <c r="H18" s="724">
        <v>0</v>
      </c>
      <c r="I18" s="724">
        <v>0</v>
      </c>
      <c r="J18" s="724">
        <v>0</v>
      </c>
    </row>
    <row r="19" spans="1:10" s="592" customFormat="1" ht="20.25" customHeight="1">
      <c r="A19" s="283">
        <v>6</v>
      </c>
      <c r="B19" s="745" t="s">
        <v>753</v>
      </c>
      <c r="C19" s="722">
        <f t="shared" si="2"/>
        <v>0</v>
      </c>
      <c r="D19" s="728">
        <v>0</v>
      </c>
      <c r="E19" s="724">
        <v>0</v>
      </c>
      <c r="F19" s="722">
        <f t="shared" si="3"/>
        <v>0</v>
      </c>
      <c r="G19" s="723">
        <v>0</v>
      </c>
      <c r="H19" s="724">
        <v>0</v>
      </c>
      <c r="I19" s="724">
        <v>0</v>
      </c>
      <c r="J19" s="724">
        <v>0</v>
      </c>
    </row>
    <row r="20" spans="1:10" s="592" customFormat="1" ht="21" customHeight="1">
      <c r="A20" s="283">
        <v>7</v>
      </c>
      <c r="B20" s="745" t="s">
        <v>754</v>
      </c>
      <c r="C20" s="722">
        <f t="shared" si="2"/>
        <v>0</v>
      </c>
      <c r="D20" s="728">
        <v>0</v>
      </c>
      <c r="E20" s="724">
        <v>0</v>
      </c>
      <c r="F20" s="722">
        <f t="shared" si="3"/>
        <v>0</v>
      </c>
      <c r="G20" s="723">
        <v>0</v>
      </c>
      <c r="H20" s="724">
        <v>0</v>
      </c>
      <c r="I20" s="724">
        <v>0</v>
      </c>
      <c r="J20" s="724">
        <v>0</v>
      </c>
    </row>
    <row r="21" spans="1:10" s="592" customFormat="1" ht="21" customHeight="1">
      <c r="A21" s="283">
        <v>8</v>
      </c>
      <c r="B21" s="745" t="s">
        <v>755</v>
      </c>
      <c r="C21" s="722">
        <f t="shared" si="2"/>
        <v>0</v>
      </c>
      <c r="D21" s="728">
        <v>0</v>
      </c>
      <c r="E21" s="724">
        <v>0</v>
      </c>
      <c r="F21" s="722">
        <f t="shared" si="3"/>
        <v>0</v>
      </c>
      <c r="G21" s="723">
        <v>0</v>
      </c>
      <c r="H21" s="724">
        <v>0</v>
      </c>
      <c r="I21" s="724">
        <v>0</v>
      </c>
      <c r="J21" s="724">
        <v>0</v>
      </c>
    </row>
    <row r="22" spans="1:10" s="592" customFormat="1" ht="19.5" customHeight="1">
      <c r="A22" s="283">
        <v>9</v>
      </c>
      <c r="B22" s="745" t="s">
        <v>756</v>
      </c>
      <c r="C22" s="722">
        <f t="shared" si="2"/>
        <v>0</v>
      </c>
      <c r="D22" s="728">
        <v>0</v>
      </c>
      <c r="E22" s="724">
        <v>0</v>
      </c>
      <c r="F22" s="722">
        <f t="shared" si="3"/>
        <v>0</v>
      </c>
      <c r="G22" s="723">
        <v>0</v>
      </c>
      <c r="H22" s="724">
        <v>0</v>
      </c>
      <c r="I22" s="724">
        <v>0</v>
      </c>
      <c r="J22" s="724">
        <v>0</v>
      </c>
    </row>
    <row r="23" spans="1:10" s="592" customFormat="1" ht="21.75" customHeight="1" thickBot="1">
      <c r="A23" s="729">
        <v>10</v>
      </c>
      <c r="B23" s="1005" t="s">
        <v>757</v>
      </c>
      <c r="C23" s="730">
        <f t="shared" si="2"/>
        <v>0</v>
      </c>
      <c r="D23" s="731">
        <v>0</v>
      </c>
      <c r="E23" s="732">
        <v>0</v>
      </c>
      <c r="F23" s="730">
        <f t="shared" si="3"/>
        <v>0</v>
      </c>
      <c r="G23" s="733">
        <v>0</v>
      </c>
      <c r="H23" s="732">
        <v>0</v>
      </c>
      <c r="I23" s="732">
        <v>0</v>
      </c>
      <c r="J23" s="732">
        <v>0</v>
      </c>
    </row>
    <row r="24" spans="1:10" ht="18" customHeight="1" thickTop="1">
      <c r="A24" s="599"/>
      <c r="B24" s="1720"/>
      <c r="C24" s="1720"/>
      <c r="D24" s="1002"/>
      <c r="E24" s="1002"/>
      <c r="F24" s="1002"/>
      <c r="G24" s="1770" t="str">
        <f>'Thong tin'!B9</f>
        <v>Bình Thuận, ngày 04 tháng 10 năm 2016</v>
      </c>
      <c r="H24" s="1770"/>
      <c r="I24" s="1770"/>
      <c r="J24" s="1770"/>
    </row>
    <row r="25" spans="1:10" ht="21.75" customHeight="1">
      <c r="A25" s="599"/>
      <c r="B25" s="1722" t="s">
        <v>4</v>
      </c>
      <c r="C25" s="1722"/>
      <c r="D25" s="1002"/>
      <c r="E25" s="1002"/>
      <c r="F25" s="1002"/>
      <c r="G25" s="1723" t="str">
        <f>'Thong tin'!B7</f>
        <v>KT. CỤC TRƯỞNG</v>
      </c>
      <c r="H25" s="1723"/>
      <c r="I25" s="1723"/>
      <c r="J25" s="1723"/>
    </row>
    <row r="26" spans="1:10" ht="20.25" customHeight="1">
      <c r="A26" s="599"/>
      <c r="B26" s="946"/>
      <c r="C26" s="946"/>
      <c r="D26" s="1002"/>
      <c r="E26" s="1002"/>
      <c r="F26" s="1002"/>
      <c r="G26" s="1723" t="str">
        <f>'Thong tin'!B8</f>
        <v>PHÓ CỤC TRƯỞNG</v>
      </c>
      <c r="H26" s="1723"/>
      <c r="I26" s="1723"/>
      <c r="J26" s="1723"/>
    </row>
    <row r="27" spans="1:10" ht="18.75" customHeight="1">
      <c r="A27" s="599"/>
      <c r="B27" s="946"/>
      <c r="C27" s="946"/>
      <c r="D27" s="1002"/>
      <c r="E27" s="1002"/>
      <c r="F27" s="1002"/>
      <c r="G27" s="948"/>
      <c r="H27" s="948"/>
      <c r="I27" s="948"/>
      <c r="J27" s="948"/>
    </row>
    <row r="28" spans="1:10" ht="18.75" customHeight="1">
      <c r="A28" s="599"/>
      <c r="B28" s="946"/>
      <c r="C28" s="946"/>
      <c r="D28" s="1002"/>
      <c r="E28" s="1002"/>
      <c r="F28" s="1002"/>
      <c r="G28" s="948"/>
      <c r="H28" s="948"/>
      <c r="I28" s="948"/>
      <c r="J28" s="948"/>
    </row>
    <row r="29" spans="2:10" ht="16.5">
      <c r="B29" s="1883"/>
      <c r="C29" s="1883"/>
      <c r="D29" s="676"/>
      <c r="E29" s="676"/>
      <c r="F29" s="676"/>
      <c r="G29" s="1723"/>
      <c r="H29" s="1723"/>
      <c r="I29" s="1723"/>
      <c r="J29" s="1723"/>
    </row>
    <row r="30" spans="2:10" ht="16.5">
      <c r="B30" s="1651" t="str">
        <f>'Thong tin'!B5</f>
        <v>Trần Quốc Bảo</v>
      </c>
      <c r="C30" s="1651"/>
      <c r="D30" s="675"/>
      <c r="E30" s="675"/>
      <c r="F30" s="675"/>
      <c r="G30" s="1651" t="str">
        <f>'Thong tin'!B6</f>
        <v>Trần Nam</v>
      </c>
      <c r="H30" s="1651"/>
      <c r="I30" s="1651"/>
      <c r="J30" s="1651"/>
    </row>
  </sheetData>
  <sheetProtection/>
  <mergeCells count="32">
    <mergeCell ref="B25:C25"/>
    <mergeCell ref="G25:J25"/>
    <mergeCell ref="B30:C30"/>
    <mergeCell ref="G30:J30"/>
    <mergeCell ref="B29:C29"/>
    <mergeCell ref="G29:J29"/>
    <mergeCell ref="G26:J26"/>
    <mergeCell ref="A10:B10"/>
    <mergeCell ref="A11:B11"/>
    <mergeCell ref="B24:C24"/>
    <mergeCell ref="G24:J24"/>
    <mergeCell ref="D8:D9"/>
    <mergeCell ref="E8:E9"/>
    <mergeCell ref="F8:F9"/>
    <mergeCell ref="G8:H8"/>
    <mergeCell ref="A5:B5"/>
    <mergeCell ref="I5:J5"/>
    <mergeCell ref="A6:B9"/>
    <mergeCell ref="C6:E6"/>
    <mergeCell ref="F6:I6"/>
    <mergeCell ref="J6:J9"/>
    <mergeCell ref="C7:C9"/>
    <mergeCell ref="D7:E7"/>
    <mergeCell ref="F7:H7"/>
    <mergeCell ref="I7:I9"/>
    <mergeCell ref="A4:B4"/>
    <mergeCell ref="A1:B1"/>
    <mergeCell ref="I1:J1"/>
    <mergeCell ref="C3:H3"/>
    <mergeCell ref="I3:J3"/>
    <mergeCell ref="C1:H2"/>
    <mergeCell ref="C4:H4"/>
  </mergeCells>
  <printOptions horizontalCentered="1"/>
  <pageMargins left="0.5" right="0.42" top="0.22" bottom="0" header="0.16" footer="0.2"/>
  <pageSetup horizontalDpi="1200" verticalDpi="1200" orientation="landscape" paperSize="9" scale="95"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203" t="s">
        <v>117</v>
      </c>
      <c r="B1" s="1203"/>
      <c r="C1" s="1203"/>
      <c r="D1" s="1292" t="s">
        <v>462</v>
      </c>
      <c r="E1" s="1292"/>
      <c r="F1" s="1292"/>
      <c r="G1" s="1292"/>
      <c r="H1" s="1292"/>
      <c r="I1" s="1292"/>
      <c r="J1" s="1282" t="s">
        <v>463</v>
      </c>
      <c r="K1" s="1283"/>
      <c r="L1" s="1283"/>
    </row>
    <row r="2" spans="1:13" ht="15.75" customHeight="1">
      <c r="A2" s="1284" t="s">
        <v>408</v>
      </c>
      <c r="B2" s="1284"/>
      <c r="C2" s="1284"/>
      <c r="D2" s="1292"/>
      <c r="E2" s="1292"/>
      <c r="F2" s="1292"/>
      <c r="G2" s="1292"/>
      <c r="H2" s="1292"/>
      <c r="I2" s="1292"/>
      <c r="J2" s="1283" t="s">
        <v>409</v>
      </c>
      <c r="K2" s="1283"/>
      <c r="L2" s="1283"/>
      <c r="M2" s="142"/>
    </row>
    <row r="3" spans="1:13" ht="15.75" customHeight="1">
      <c r="A3" s="1219" t="s">
        <v>360</v>
      </c>
      <c r="B3" s="1219"/>
      <c r="C3" s="1219"/>
      <c r="D3" s="1292"/>
      <c r="E3" s="1292"/>
      <c r="F3" s="1292"/>
      <c r="G3" s="1292"/>
      <c r="H3" s="1292"/>
      <c r="I3" s="1292"/>
      <c r="J3" s="1282" t="s">
        <v>464</v>
      </c>
      <c r="K3" s="1282"/>
      <c r="L3" s="1282"/>
      <c r="M3" s="46"/>
    </row>
    <row r="4" spans="1:13" ht="15.75" customHeight="1">
      <c r="A4" s="1295" t="s">
        <v>362</v>
      </c>
      <c r="B4" s="1295"/>
      <c r="C4" s="1295"/>
      <c r="D4" s="1294"/>
      <c r="E4" s="1294"/>
      <c r="F4" s="1294"/>
      <c r="G4" s="1294"/>
      <c r="H4" s="1294"/>
      <c r="I4" s="1294"/>
      <c r="J4" s="1283" t="s">
        <v>410</v>
      </c>
      <c r="K4" s="1283"/>
      <c r="L4" s="1283"/>
      <c r="M4" s="142"/>
    </row>
    <row r="5" spans="1:13" ht="15.75">
      <c r="A5" s="143"/>
      <c r="B5" s="143"/>
      <c r="C5" s="43"/>
      <c r="D5" s="43"/>
      <c r="E5" s="43"/>
      <c r="F5" s="43"/>
      <c r="G5" s="43"/>
      <c r="H5" s="43"/>
      <c r="I5" s="43"/>
      <c r="J5" s="1293" t="s">
        <v>8</v>
      </c>
      <c r="K5" s="1293"/>
      <c r="L5" s="1293"/>
      <c r="M5" s="142"/>
    </row>
    <row r="6" spans="1:14" ht="15.75">
      <c r="A6" s="1296" t="s">
        <v>72</v>
      </c>
      <c r="B6" s="1297"/>
      <c r="C6" s="1188" t="s">
        <v>411</v>
      </c>
      <c r="D6" s="1281" t="s">
        <v>412</v>
      </c>
      <c r="E6" s="1281"/>
      <c r="F6" s="1281"/>
      <c r="G6" s="1281"/>
      <c r="H6" s="1281"/>
      <c r="I6" s="1281"/>
      <c r="J6" s="1204" t="s">
        <v>115</v>
      </c>
      <c r="K6" s="1204"/>
      <c r="L6" s="1204"/>
      <c r="M6" s="1285" t="s">
        <v>413</v>
      </c>
      <c r="N6" s="1280" t="s">
        <v>414</v>
      </c>
    </row>
    <row r="7" spans="1:14" ht="15.75" customHeight="1">
      <c r="A7" s="1298"/>
      <c r="B7" s="1299"/>
      <c r="C7" s="1188"/>
      <c r="D7" s="1281" t="s">
        <v>7</v>
      </c>
      <c r="E7" s="1281"/>
      <c r="F7" s="1281"/>
      <c r="G7" s="1281"/>
      <c r="H7" s="1281"/>
      <c r="I7" s="1281"/>
      <c r="J7" s="1204"/>
      <c r="K7" s="1204"/>
      <c r="L7" s="1204"/>
      <c r="M7" s="1285"/>
      <c r="N7" s="1280"/>
    </row>
    <row r="8" spans="1:14" s="82" customFormat="1" ht="31.5" customHeight="1">
      <c r="A8" s="1298"/>
      <c r="B8" s="1299"/>
      <c r="C8" s="1188"/>
      <c r="D8" s="1204" t="s">
        <v>113</v>
      </c>
      <c r="E8" s="1204" t="s">
        <v>114</v>
      </c>
      <c r="F8" s="1204"/>
      <c r="G8" s="1204"/>
      <c r="H8" s="1204"/>
      <c r="I8" s="1204"/>
      <c r="J8" s="1204"/>
      <c r="K8" s="1204"/>
      <c r="L8" s="1204"/>
      <c r="M8" s="1285"/>
      <c r="N8" s="1280"/>
    </row>
    <row r="9" spans="1:14" s="82" customFormat="1" ht="15.75" customHeight="1">
      <c r="A9" s="1298"/>
      <c r="B9" s="1299"/>
      <c r="C9" s="1188"/>
      <c r="D9" s="1204"/>
      <c r="E9" s="1204" t="s">
        <v>116</v>
      </c>
      <c r="F9" s="1204" t="s">
        <v>7</v>
      </c>
      <c r="G9" s="1204"/>
      <c r="H9" s="1204"/>
      <c r="I9" s="1204"/>
      <c r="J9" s="1204" t="s">
        <v>7</v>
      </c>
      <c r="K9" s="1204"/>
      <c r="L9" s="1204"/>
      <c r="M9" s="1285"/>
      <c r="N9" s="1280"/>
    </row>
    <row r="10" spans="1:14" s="82" customFormat="1" ht="86.25" customHeight="1">
      <c r="A10" s="1300"/>
      <c r="B10" s="1301"/>
      <c r="C10" s="1188"/>
      <c r="D10" s="1204"/>
      <c r="E10" s="1204"/>
      <c r="F10" s="113" t="s">
        <v>24</v>
      </c>
      <c r="G10" s="113" t="s">
        <v>26</v>
      </c>
      <c r="H10" s="113" t="s">
        <v>18</v>
      </c>
      <c r="I10" s="113" t="s">
        <v>25</v>
      </c>
      <c r="J10" s="113" t="s">
        <v>17</v>
      </c>
      <c r="K10" s="113" t="s">
        <v>22</v>
      </c>
      <c r="L10" s="113" t="s">
        <v>23</v>
      </c>
      <c r="M10" s="1285"/>
      <c r="N10" s="1280"/>
    </row>
    <row r="11" spans="1:32" ht="13.5" customHeight="1">
      <c r="A11" s="1306" t="s">
        <v>5</v>
      </c>
      <c r="B11" s="1307"/>
      <c r="C11" s="144">
        <v>1</v>
      </c>
      <c r="D11" s="144" t="s">
        <v>53</v>
      </c>
      <c r="E11" s="144" t="s">
        <v>58</v>
      </c>
      <c r="F11" s="144" t="s">
        <v>73</v>
      </c>
      <c r="G11" s="144" t="s">
        <v>74</v>
      </c>
      <c r="H11" s="144" t="s">
        <v>75</v>
      </c>
      <c r="I11" s="144" t="s">
        <v>76</v>
      </c>
      <c r="J11" s="144" t="s">
        <v>77</v>
      </c>
      <c r="K11" s="144" t="s">
        <v>78</v>
      </c>
      <c r="L11" s="144" t="s">
        <v>101</v>
      </c>
      <c r="M11" s="145"/>
      <c r="N11" s="146"/>
      <c r="AF11" s="42" t="s">
        <v>374</v>
      </c>
    </row>
    <row r="12" spans="1:14" ht="24" customHeight="1">
      <c r="A12" s="1289" t="s">
        <v>405</v>
      </c>
      <c r="B12" s="1290"/>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287" t="s">
        <v>361</v>
      </c>
      <c r="B13" s="1288"/>
      <c r="C13" s="148">
        <v>59</v>
      </c>
      <c r="D13" s="148">
        <v>43</v>
      </c>
      <c r="E13" s="148">
        <v>0</v>
      </c>
      <c r="F13" s="148">
        <v>5</v>
      </c>
      <c r="G13" s="148">
        <v>2</v>
      </c>
      <c r="H13" s="148">
        <v>7</v>
      </c>
      <c r="I13" s="148">
        <v>2</v>
      </c>
      <c r="J13" s="148">
        <v>10</v>
      </c>
      <c r="K13" s="148">
        <v>44</v>
      </c>
      <c r="L13" s="148">
        <v>5</v>
      </c>
      <c r="M13" s="145"/>
      <c r="N13" s="146"/>
    </row>
    <row r="14" spans="1:37" s="61" customFormat="1" ht="16.5" customHeight="1">
      <c r="A14" s="1304" t="s">
        <v>37</v>
      </c>
      <c r="B14" s="1305"/>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375</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377</v>
      </c>
    </row>
    <row r="18" spans="1:14" s="157" customFormat="1" ht="16.5" customHeight="1">
      <c r="A18" s="156" t="s">
        <v>53</v>
      </c>
      <c r="B18" s="77" t="s">
        <v>407</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378</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379</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380</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382</v>
      </c>
      <c r="AK21" s="157" t="s">
        <v>383</v>
      </c>
      <c r="AL21" s="157" t="s">
        <v>384</v>
      </c>
      <c r="AM21" s="72" t="s">
        <v>385</v>
      </c>
    </row>
    <row r="22" spans="1:39" s="157" customFormat="1" ht="16.5" customHeight="1">
      <c r="A22" s="156" t="s">
        <v>75</v>
      </c>
      <c r="B22" s="77" t="s">
        <v>381</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387</v>
      </c>
    </row>
    <row r="23" spans="1:14" s="157" customFormat="1" ht="16.5" customHeight="1">
      <c r="A23" s="156" t="s">
        <v>76</v>
      </c>
      <c r="B23" s="77" t="s">
        <v>386</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388</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382</v>
      </c>
    </row>
    <row r="25" spans="1:36" s="157" customFormat="1" ht="16.5" customHeight="1">
      <c r="A25" s="156" t="s">
        <v>78</v>
      </c>
      <c r="B25" s="77" t="s">
        <v>389</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391</v>
      </c>
    </row>
    <row r="26" spans="1:44" s="79" customFormat="1" ht="16.5" customHeight="1">
      <c r="A26" s="160" t="s">
        <v>101</v>
      </c>
      <c r="B26" s="77" t="s">
        <v>390</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392</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394</v>
      </c>
      <c r="AI28" s="166">
        <f>82/88</f>
        <v>0.9318181818181818</v>
      </c>
    </row>
    <row r="29" spans="1:13" ht="16.5" customHeight="1">
      <c r="A29" s="1210" t="s">
        <v>465</v>
      </c>
      <c r="B29" s="1308"/>
      <c r="C29" s="1308"/>
      <c r="D29" s="1308"/>
      <c r="E29" s="167"/>
      <c r="F29" s="167"/>
      <c r="G29" s="167"/>
      <c r="H29" s="1286" t="s">
        <v>415</v>
      </c>
      <c r="I29" s="1286"/>
      <c r="J29" s="1286"/>
      <c r="K29" s="1286"/>
      <c r="L29" s="1286"/>
      <c r="M29" s="168"/>
    </row>
    <row r="30" spans="1:12" ht="18.75">
      <c r="A30" s="1308"/>
      <c r="B30" s="1308"/>
      <c r="C30" s="1308"/>
      <c r="D30" s="1308"/>
      <c r="E30" s="167"/>
      <c r="F30" s="167"/>
      <c r="G30" s="167"/>
      <c r="H30" s="1291" t="s">
        <v>416</v>
      </c>
      <c r="I30" s="1291"/>
      <c r="J30" s="1291"/>
      <c r="K30" s="1291"/>
      <c r="L30" s="1291"/>
    </row>
    <row r="31" spans="1:12" s="41" customFormat="1" ht="16.5" customHeight="1">
      <c r="A31" s="1207"/>
      <c r="B31" s="1207"/>
      <c r="C31" s="1207"/>
      <c r="D31" s="1207"/>
      <c r="E31" s="169"/>
      <c r="F31" s="169"/>
      <c r="G31" s="169"/>
      <c r="H31" s="1208"/>
      <c r="I31" s="1208"/>
      <c r="J31" s="1208"/>
      <c r="K31" s="1208"/>
      <c r="L31" s="1208"/>
    </row>
    <row r="32" spans="1:12" ht="18.75">
      <c r="A32" s="98"/>
      <c r="B32" s="1207" t="s">
        <v>397</v>
      </c>
      <c r="C32" s="1207"/>
      <c r="D32" s="1207"/>
      <c r="E32" s="169"/>
      <c r="F32" s="169"/>
      <c r="G32" s="169"/>
      <c r="H32" s="169"/>
      <c r="I32" s="1309" t="s">
        <v>397</v>
      </c>
      <c r="J32" s="1309"/>
      <c r="K32" s="1309"/>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201" t="s">
        <v>350</v>
      </c>
      <c r="B37" s="1201"/>
      <c r="C37" s="1201"/>
      <c r="D37" s="1201"/>
      <c r="E37" s="100"/>
      <c r="F37" s="100"/>
      <c r="G37" s="100"/>
      <c r="H37" s="1202" t="s">
        <v>350</v>
      </c>
      <c r="I37" s="1202"/>
      <c r="J37" s="1202"/>
      <c r="K37" s="1202"/>
      <c r="L37" s="1202"/>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303" t="s">
        <v>59</v>
      </c>
      <c r="C40" s="1303"/>
      <c r="D40" s="1303"/>
      <c r="E40" s="1303"/>
      <c r="F40" s="1303"/>
      <c r="G40" s="1303"/>
      <c r="H40" s="1303"/>
      <c r="I40" s="1303"/>
      <c r="J40" s="1303"/>
      <c r="K40" s="1303"/>
      <c r="L40" s="1303"/>
    </row>
    <row r="41" spans="1:12" ht="16.5" customHeight="1">
      <c r="A41" s="174"/>
      <c r="B41" s="1302" t="s">
        <v>61</v>
      </c>
      <c r="C41" s="1302"/>
      <c r="D41" s="1302"/>
      <c r="E41" s="1302"/>
      <c r="F41" s="1302"/>
      <c r="G41" s="1302"/>
      <c r="H41" s="1302"/>
      <c r="I41" s="1302"/>
      <c r="J41" s="1302"/>
      <c r="K41" s="1302"/>
      <c r="L41" s="1302"/>
    </row>
    <row r="42" ht="15.75">
      <c r="B42" s="47" t="s">
        <v>60</v>
      </c>
    </row>
  </sheetData>
  <sheetProtection/>
  <mergeCells count="38">
    <mergeCell ref="B41:L41"/>
    <mergeCell ref="B40:L40"/>
    <mergeCell ref="A14:B14"/>
    <mergeCell ref="A11:B11"/>
    <mergeCell ref="A29:D30"/>
    <mergeCell ref="H37:L37"/>
    <mergeCell ref="A37:D37"/>
    <mergeCell ref="B32:D32"/>
    <mergeCell ref="I32:K32"/>
    <mergeCell ref="A31:D31"/>
    <mergeCell ref="H30:L30"/>
    <mergeCell ref="H31:L31"/>
    <mergeCell ref="A3:C3"/>
    <mergeCell ref="D1:I3"/>
    <mergeCell ref="J5:L5"/>
    <mergeCell ref="D4:I4"/>
    <mergeCell ref="A4:C4"/>
    <mergeCell ref="J1:L1"/>
    <mergeCell ref="J2:L2"/>
    <mergeCell ref="A6:B10"/>
    <mergeCell ref="J4:L4"/>
    <mergeCell ref="A2:C2"/>
    <mergeCell ref="M6:M10"/>
    <mergeCell ref="H29:L29"/>
    <mergeCell ref="A13:B13"/>
    <mergeCell ref="A12:B12"/>
    <mergeCell ref="J9:L9"/>
    <mergeCell ref="J6:L8"/>
    <mergeCell ref="N6:N10"/>
    <mergeCell ref="A1:C1"/>
    <mergeCell ref="C6:C10"/>
    <mergeCell ref="E9:E10"/>
    <mergeCell ref="D6:I6"/>
    <mergeCell ref="E8:I8"/>
    <mergeCell ref="D8:D10"/>
    <mergeCell ref="F9:I9"/>
    <mergeCell ref="D7:I7"/>
    <mergeCell ref="J3:L3"/>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326" t="s">
        <v>229</v>
      </c>
      <c r="B1" s="1326"/>
      <c r="C1" s="1326"/>
      <c r="D1" s="1321" t="s">
        <v>419</v>
      </c>
      <c r="E1" s="1322"/>
      <c r="F1" s="1322"/>
      <c r="G1" s="1322"/>
      <c r="H1" s="1322"/>
      <c r="I1" s="1322"/>
      <c r="J1" s="1322"/>
      <c r="K1" s="1322"/>
      <c r="L1" s="1322"/>
      <c r="M1" s="1322"/>
      <c r="N1" s="1322"/>
      <c r="O1" s="221"/>
      <c r="P1" s="178" t="s">
        <v>469</v>
      </c>
      <c r="Q1" s="177"/>
      <c r="R1" s="177"/>
      <c r="S1" s="177"/>
      <c r="T1" s="177"/>
      <c r="U1" s="221"/>
    </row>
    <row r="2" spans="1:21" ht="16.5" customHeight="1">
      <c r="A2" s="1323" t="s">
        <v>420</v>
      </c>
      <c r="B2" s="1323"/>
      <c r="C2" s="1323"/>
      <c r="D2" s="1322"/>
      <c r="E2" s="1322"/>
      <c r="F2" s="1322"/>
      <c r="G2" s="1322"/>
      <c r="H2" s="1322"/>
      <c r="I2" s="1322"/>
      <c r="J2" s="1322"/>
      <c r="K2" s="1322"/>
      <c r="L2" s="1322"/>
      <c r="M2" s="1322"/>
      <c r="N2" s="1322"/>
      <c r="O2" s="222"/>
      <c r="P2" s="1314" t="s">
        <v>421</v>
      </c>
      <c r="Q2" s="1314"/>
      <c r="R2" s="1314"/>
      <c r="S2" s="1314"/>
      <c r="T2" s="1314"/>
      <c r="U2" s="222"/>
    </row>
    <row r="3" spans="1:21" ht="16.5" customHeight="1">
      <c r="A3" s="1342" t="s">
        <v>422</v>
      </c>
      <c r="B3" s="1342"/>
      <c r="C3" s="1342"/>
      <c r="D3" s="1327" t="s">
        <v>423</v>
      </c>
      <c r="E3" s="1327"/>
      <c r="F3" s="1327"/>
      <c r="G3" s="1327"/>
      <c r="H3" s="1327"/>
      <c r="I3" s="1327"/>
      <c r="J3" s="1327"/>
      <c r="K3" s="1327"/>
      <c r="L3" s="1327"/>
      <c r="M3" s="1327"/>
      <c r="N3" s="1327"/>
      <c r="O3" s="222"/>
      <c r="P3" s="182" t="s">
        <v>468</v>
      </c>
      <c r="Q3" s="222"/>
      <c r="R3" s="222"/>
      <c r="S3" s="222"/>
      <c r="T3" s="222"/>
      <c r="U3" s="222"/>
    </row>
    <row r="4" spans="1:21" ht="16.5" customHeight="1">
      <c r="A4" s="1328" t="s">
        <v>362</v>
      </c>
      <c r="B4" s="1328"/>
      <c r="C4" s="1328"/>
      <c r="D4" s="1349"/>
      <c r="E4" s="1349"/>
      <c r="F4" s="1349"/>
      <c r="G4" s="1349"/>
      <c r="H4" s="1349"/>
      <c r="I4" s="1349"/>
      <c r="J4" s="1349"/>
      <c r="K4" s="1349"/>
      <c r="L4" s="1349"/>
      <c r="M4" s="1349"/>
      <c r="N4" s="1349"/>
      <c r="O4" s="222"/>
      <c r="P4" s="181" t="s">
        <v>401</v>
      </c>
      <c r="Q4" s="222"/>
      <c r="R4" s="222"/>
      <c r="S4" s="222"/>
      <c r="T4" s="222"/>
      <c r="U4" s="222"/>
    </row>
    <row r="5" spans="12:21" ht="16.5" customHeight="1">
      <c r="L5" s="223"/>
      <c r="M5" s="223"/>
      <c r="N5" s="223"/>
      <c r="O5" s="185"/>
      <c r="P5" s="184" t="s">
        <v>424</v>
      </c>
      <c r="Q5" s="185"/>
      <c r="R5" s="185"/>
      <c r="S5" s="185"/>
      <c r="T5" s="185"/>
      <c r="U5" s="181"/>
    </row>
    <row r="6" spans="1:21" s="226" customFormat="1" ht="15.75" customHeight="1">
      <c r="A6" s="1315" t="s">
        <v>72</v>
      </c>
      <c r="B6" s="1316"/>
      <c r="C6" s="1310" t="s">
        <v>230</v>
      </c>
      <c r="D6" s="1324" t="s">
        <v>231</v>
      </c>
      <c r="E6" s="1325"/>
      <c r="F6" s="1325"/>
      <c r="G6" s="1325"/>
      <c r="H6" s="1325"/>
      <c r="I6" s="1325"/>
      <c r="J6" s="1325"/>
      <c r="K6" s="1325"/>
      <c r="L6" s="1325"/>
      <c r="M6" s="1325"/>
      <c r="N6" s="1325"/>
      <c r="O6" s="1325"/>
      <c r="P6" s="1325"/>
      <c r="Q6" s="1325"/>
      <c r="R6" s="1325"/>
      <c r="S6" s="1325"/>
      <c r="T6" s="1310" t="s">
        <v>232</v>
      </c>
      <c r="U6" s="225"/>
    </row>
    <row r="7" spans="1:20" s="227" customFormat="1" ht="12.75" customHeight="1">
      <c r="A7" s="1317"/>
      <c r="B7" s="1318"/>
      <c r="C7" s="1310"/>
      <c r="D7" s="1346" t="s">
        <v>227</v>
      </c>
      <c r="E7" s="1325" t="s">
        <v>7</v>
      </c>
      <c r="F7" s="1325"/>
      <c r="G7" s="1325"/>
      <c r="H7" s="1325"/>
      <c r="I7" s="1325"/>
      <c r="J7" s="1325"/>
      <c r="K7" s="1325"/>
      <c r="L7" s="1325"/>
      <c r="M7" s="1325"/>
      <c r="N7" s="1325"/>
      <c r="O7" s="1325"/>
      <c r="P7" s="1325"/>
      <c r="Q7" s="1325"/>
      <c r="R7" s="1325"/>
      <c r="S7" s="1325"/>
      <c r="T7" s="1310"/>
    </row>
    <row r="8" spans="1:21" s="227" customFormat="1" ht="43.5" customHeight="1">
      <c r="A8" s="1317"/>
      <c r="B8" s="1318"/>
      <c r="C8" s="1310"/>
      <c r="D8" s="1347"/>
      <c r="E8" s="1313" t="s">
        <v>233</v>
      </c>
      <c r="F8" s="1310"/>
      <c r="G8" s="1310"/>
      <c r="H8" s="1310" t="s">
        <v>234</v>
      </c>
      <c r="I8" s="1310"/>
      <c r="J8" s="1310"/>
      <c r="K8" s="1310" t="s">
        <v>235</v>
      </c>
      <c r="L8" s="1310"/>
      <c r="M8" s="1310" t="s">
        <v>236</v>
      </c>
      <c r="N8" s="1310"/>
      <c r="O8" s="1310"/>
      <c r="P8" s="1310" t="s">
        <v>237</v>
      </c>
      <c r="Q8" s="1310" t="s">
        <v>238</v>
      </c>
      <c r="R8" s="1310" t="s">
        <v>239</v>
      </c>
      <c r="S8" s="1329" t="s">
        <v>240</v>
      </c>
      <c r="T8" s="1310"/>
      <c r="U8" s="1339" t="s">
        <v>425</v>
      </c>
    </row>
    <row r="9" spans="1:21" s="227" customFormat="1" ht="44.25" customHeight="1">
      <c r="A9" s="1319"/>
      <c r="B9" s="1320"/>
      <c r="C9" s="1310"/>
      <c r="D9" s="1348"/>
      <c r="E9" s="228" t="s">
        <v>241</v>
      </c>
      <c r="F9" s="224" t="s">
        <v>242</v>
      </c>
      <c r="G9" s="224" t="s">
        <v>426</v>
      </c>
      <c r="H9" s="224" t="s">
        <v>243</v>
      </c>
      <c r="I9" s="224" t="s">
        <v>244</v>
      </c>
      <c r="J9" s="224" t="s">
        <v>245</v>
      </c>
      <c r="K9" s="224" t="s">
        <v>242</v>
      </c>
      <c r="L9" s="224" t="s">
        <v>246</v>
      </c>
      <c r="M9" s="224" t="s">
        <v>247</v>
      </c>
      <c r="N9" s="224" t="s">
        <v>248</v>
      </c>
      <c r="O9" s="224" t="s">
        <v>427</v>
      </c>
      <c r="P9" s="1310"/>
      <c r="Q9" s="1310"/>
      <c r="R9" s="1310"/>
      <c r="S9" s="1329"/>
      <c r="T9" s="1310"/>
      <c r="U9" s="1340"/>
    </row>
    <row r="10" spans="1:21" s="231" customFormat="1" ht="15.75" customHeight="1">
      <c r="A10" s="1343" t="s">
        <v>6</v>
      </c>
      <c r="B10" s="1344"/>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340"/>
    </row>
    <row r="11" spans="1:21" s="231" customFormat="1" ht="15.75" customHeight="1">
      <c r="A11" s="1311" t="s">
        <v>405</v>
      </c>
      <c r="B11" s="1312"/>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341"/>
    </row>
    <row r="12" spans="1:21" s="231" customFormat="1" ht="15.75" customHeight="1">
      <c r="A12" s="1330" t="s">
        <v>406</v>
      </c>
      <c r="B12" s="1331"/>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336" t="s">
        <v>37</v>
      </c>
      <c r="B13" s="1337"/>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375</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407</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378</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379</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380</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381</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386</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388</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389</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390</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392</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345" t="s">
        <v>393</v>
      </c>
      <c r="C28" s="1345"/>
      <c r="D28" s="1345"/>
      <c r="E28" s="1345"/>
      <c r="F28" s="190"/>
      <c r="G28" s="190"/>
      <c r="H28" s="190"/>
      <c r="I28" s="190"/>
      <c r="J28" s="190"/>
      <c r="K28" s="190" t="s">
        <v>249</v>
      </c>
      <c r="L28" s="191"/>
      <c r="M28" s="1350" t="s">
        <v>428</v>
      </c>
      <c r="N28" s="1350"/>
      <c r="O28" s="1350"/>
      <c r="P28" s="1350"/>
      <c r="Q28" s="1350"/>
      <c r="R28" s="1350"/>
      <c r="S28" s="1350"/>
      <c r="T28" s="1350"/>
    </row>
    <row r="29" spans="1:20" s="242" customFormat="1" ht="18.75" customHeight="1">
      <c r="A29" s="241"/>
      <c r="B29" s="1335" t="s">
        <v>250</v>
      </c>
      <c r="C29" s="1335"/>
      <c r="D29" s="1335"/>
      <c r="E29" s="243"/>
      <c r="F29" s="192"/>
      <c r="G29" s="192"/>
      <c r="H29" s="192"/>
      <c r="I29" s="192"/>
      <c r="J29" s="192"/>
      <c r="K29" s="192"/>
      <c r="L29" s="191"/>
      <c r="M29" s="1338" t="s">
        <v>417</v>
      </c>
      <c r="N29" s="1338"/>
      <c r="O29" s="1338"/>
      <c r="P29" s="1338"/>
      <c r="Q29" s="1338"/>
      <c r="R29" s="1338"/>
      <c r="S29" s="1338"/>
      <c r="T29" s="1338"/>
    </row>
    <row r="30" spans="1:20" s="242" customFormat="1" ht="18.75">
      <c r="A30" s="193"/>
      <c r="B30" s="1332"/>
      <c r="C30" s="1332"/>
      <c r="D30" s="1332"/>
      <c r="E30" s="195"/>
      <c r="F30" s="195"/>
      <c r="G30" s="195"/>
      <c r="H30" s="195"/>
      <c r="I30" s="195"/>
      <c r="J30" s="195"/>
      <c r="K30" s="195"/>
      <c r="L30" s="195"/>
      <c r="M30" s="1333"/>
      <c r="N30" s="1333"/>
      <c r="O30" s="1333"/>
      <c r="P30" s="1333"/>
      <c r="Q30" s="1333"/>
      <c r="R30" s="1333"/>
      <c r="S30" s="1333"/>
      <c r="T30" s="1333"/>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334" t="s">
        <v>397</v>
      </c>
      <c r="C36" s="1334"/>
      <c r="D36" s="1334"/>
      <c r="E36" s="245"/>
      <c r="F36" s="245"/>
      <c r="G36" s="245"/>
      <c r="H36" s="245"/>
      <c r="I36" s="245"/>
      <c r="J36" s="245"/>
      <c r="K36" s="245"/>
      <c r="L36" s="245"/>
      <c r="M36" s="245"/>
      <c r="N36" s="1334" t="s">
        <v>397</v>
      </c>
      <c r="O36" s="1334"/>
      <c r="P36" s="1334"/>
      <c r="Q36" s="1334"/>
      <c r="R36" s="1334"/>
      <c r="S36" s="1334"/>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201" t="s">
        <v>350</v>
      </c>
      <c r="C38" s="1201"/>
      <c r="D38" s="1201"/>
      <c r="E38" s="219"/>
      <c r="F38" s="219"/>
      <c r="G38" s="219"/>
      <c r="H38" s="219"/>
      <c r="I38" s="191"/>
      <c r="J38" s="191"/>
      <c r="K38" s="191"/>
      <c r="L38" s="191"/>
      <c r="M38" s="1202" t="s">
        <v>351</v>
      </c>
      <c r="N38" s="1202"/>
      <c r="O38" s="1202"/>
      <c r="P38" s="1202"/>
      <c r="Q38" s="1202"/>
      <c r="R38" s="1202"/>
      <c r="S38" s="1202"/>
      <c r="T38" s="1202"/>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367" t="s">
        <v>255</v>
      </c>
      <c r="B1" s="1367"/>
      <c r="C1" s="1367"/>
      <c r="D1" s="247"/>
      <c r="E1" s="1355" t="s">
        <v>256</v>
      </c>
      <c r="F1" s="1355"/>
      <c r="G1" s="1355"/>
      <c r="H1" s="1355"/>
      <c r="I1" s="1355"/>
      <c r="J1" s="1355"/>
      <c r="K1" s="1355"/>
      <c r="L1" s="1355"/>
      <c r="M1" s="1355"/>
      <c r="N1" s="1355"/>
      <c r="O1" s="200"/>
      <c r="P1" s="1364" t="s">
        <v>467</v>
      </c>
      <c r="Q1" s="1364"/>
      <c r="R1" s="1364"/>
      <c r="S1" s="1364"/>
      <c r="T1" s="1364"/>
    </row>
    <row r="2" spans="1:20" ht="15.75" customHeight="1">
      <c r="A2" s="1368" t="s">
        <v>429</v>
      </c>
      <c r="B2" s="1368"/>
      <c r="C2" s="1368"/>
      <c r="D2" s="1368"/>
      <c r="E2" s="1370" t="s">
        <v>257</v>
      </c>
      <c r="F2" s="1370"/>
      <c r="G2" s="1370"/>
      <c r="H2" s="1370"/>
      <c r="I2" s="1370"/>
      <c r="J2" s="1370"/>
      <c r="K2" s="1370"/>
      <c r="L2" s="1370"/>
      <c r="M2" s="1370"/>
      <c r="N2" s="1370"/>
      <c r="O2" s="203"/>
      <c r="P2" s="1365" t="s">
        <v>409</v>
      </c>
      <c r="Q2" s="1365"/>
      <c r="R2" s="1365"/>
      <c r="S2" s="1365"/>
      <c r="T2" s="1365"/>
    </row>
    <row r="3" spans="1:20" ht="17.25">
      <c r="A3" s="1368" t="s">
        <v>360</v>
      </c>
      <c r="B3" s="1368"/>
      <c r="C3" s="1368"/>
      <c r="D3" s="248"/>
      <c r="E3" s="1357" t="s">
        <v>361</v>
      </c>
      <c r="F3" s="1357"/>
      <c r="G3" s="1357"/>
      <c r="H3" s="1357"/>
      <c r="I3" s="1357"/>
      <c r="J3" s="1357"/>
      <c r="K3" s="1357"/>
      <c r="L3" s="1357"/>
      <c r="M3" s="1357"/>
      <c r="N3" s="1357"/>
      <c r="O3" s="203"/>
      <c r="P3" s="1366" t="s">
        <v>468</v>
      </c>
      <c r="Q3" s="1366"/>
      <c r="R3" s="1366"/>
      <c r="S3" s="1366"/>
      <c r="T3" s="1366"/>
    </row>
    <row r="4" spans="1:20" ht="18.75" customHeight="1">
      <c r="A4" s="1369" t="s">
        <v>362</v>
      </c>
      <c r="B4" s="1369"/>
      <c r="C4" s="1369"/>
      <c r="D4" s="1371"/>
      <c r="E4" s="1371"/>
      <c r="F4" s="1371"/>
      <c r="G4" s="1371"/>
      <c r="H4" s="1371"/>
      <c r="I4" s="1371"/>
      <c r="J4" s="1371"/>
      <c r="K4" s="1371"/>
      <c r="L4" s="1371"/>
      <c r="M4" s="1371"/>
      <c r="N4" s="1371"/>
      <c r="O4" s="204"/>
      <c r="P4" s="1365" t="s">
        <v>401</v>
      </c>
      <c r="Q4" s="1366"/>
      <c r="R4" s="1366"/>
      <c r="S4" s="1366"/>
      <c r="T4" s="1366"/>
    </row>
    <row r="5" spans="1:23" ht="15">
      <c r="A5" s="217"/>
      <c r="B5" s="217"/>
      <c r="C5" s="249"/>
      <c r="D5" s="249"/>
      <c r="E5" s="217"/>
      <c r="F5" s="217"/>
      <c r="G5" s="217"/>
      <c r="H5" s="217"/>
      <c r="I5" s="217"/>
      <c r="J5" s="217"/>
      <c r="K5" s="217"/>
      <c r="L5" s="217"/>
      <c r="P5" s="1372" t="s">
        <v>424</v>
      </c>
      <c r="Q5" s="1372"/>
      <c r="R5" s="1372"/>
      <c r="S5" s="1372"/>
      <c r="T5" s="1372"/>
      <c r="U5" s="250"/>
      <c r="V5" s="250"/>
      <c r="W5" s="250"/>
    </row>
    <row r="6" spans="1:23" ht="29.25" customHeight="1">
      <c r="A6" s="1315" t="s">
        <v>72</v>
      </c>
      <c r="B6" s="1391"/>
      <c r="C6" s="1386" t="s">
        <v>2</v>
      </c>
      <c r="D6" s="1373" t="s">
        <v>258</v>
      </c>
      <c r="E6" s="1374"/>
      <c r="F6" s="1374"/>
      <c r="G6" s="1374"/>
      <c r="H6" s="1374"/>
      <c r="I6" s="1374"/>
      <c r="J6" s="1375"/>
      <c r="K6" s="1358" t="s">
        <v>259</v>
      </c>
      <c r="L6" s="1359"/>
      <c r="M6" s="1359"/>
      <c r="N6" s="1359"/>
      <c r="O6" s="1359"/>
      <c r="P6" s="1359"/>
      <c r="Q6" s="1359"/>
      <c r="R6" s="1359"/>
      <c r="S6" s="1359"/>
      <c r="T6" s="1360"/>
      <c r="U6" s="251"/>
      <c r="V6" s="252"/>
      <c r="W6" s="252"/>
    </row>
    <row r="7" spans="1:20" ht="19.5" customHeight="1">
      <c r="A7" s="1317"/>
      <c r="B7" s="1392"/>
      <c r="C7" s="1387"/>
      <c r="D7" s="1374" t="s">
        <v>7</v>
      </c>
      <c r="E7" s="1374"/>
      <c r="F7" s="1374"/>
      <c r="G7" s="1374"/>
      <c r="H7" s="1374"/>
      <c r="I7" s="1374"/>
      <c r="J7" s="1375"/>
      <c r="K7" s="1361"/>
      <c r="L7" s="1362"/>
      <c r="M7" s="1362"/>
      <c r="N7" s="1362"/>
      <c r="O7" s="1362"/>
      <c r="P7" s="1362"/>
      <c r="Q7" s="1362"/>
      <c r="R7" s="1362"/>
      <c r="S7" s="1362"/>
      <c r="T7" s="1363"/>
    </row>
    <row r="8" spans="1:20" ht="33" customHeight="1">
      <c r="A8" s="1317"/>
      <c r="B8" s="1392"/>
      <c r="C8" s="1387"/>
      <c r="D8" s="1353" t="s">
        <v>260</v>
      </c>
      <c r="E8" s="1354"/>
      <c r="F8" s="1352" t="s">
        <v>261</v>
      </c>
      <c r="G8" s="1354"/>
      <c r="H8" s="1352" t="s">
        <v>262</v>
      </c>
      <c r="I8" s="1354"/>
      <c r="J8" s="1352" t="s">
        <v>263</v>
      </c>
      <c r="K8" s="1351" t="s">
        <v>264</v>
      </c>
      <c r="L8" s="1351"/>
      <c r="M8" s="1351"/>
      <c r="N8" s="1351" t="s">
        <v>265</v>
      </c>
      <c r="O8" s="1351"/>
      <c r="P8" s="1351"/>
      <c r="Q8" s="1352" t="s">
        <v>266</v>
      </c>
      <c r="R8" s="1356" t="s">
        <v>267</v>
      </c>
      <c r="S8" s="1356" t="s">
        <v>268</v>
      </c>
      <c r="T8" s="1352" t="s">
        <v>269</v>
      </c>
    </row>
    <row r="9" spans="1:20" ht="18.75" customHeight="1">
      <c r="A9" s="1317"/>
      <c r="B9" s="1392"/>
      <c r="C9" s="1387"/>
      <c r="D9" s="1353" t="s">
        <v>270</v>
      </c>
      <c r="E9" s="1352" t="s">
        <v>271</v>
      </c>
      <c r="F9" s="1352" t="s">
        <v>270</v>
      </c>
      <c r="G9" s="1352" t="s">
        <v>271</v>
      </c>
      <c r="H9" s="1352" t="s">
        <v>270</v>
      </c>
      <c r="I9" s="1352" t="s">
        <v>272</v>
      </c>
      <c r="J9" s="1352"/>
      <c r="K9" s="1351"/>
      <c r="L9" s="1351"/>
      <c r="M9" s="1351"/>
      <c r="N9" s="1351"/>
      <c r="O9" s="1351"/>
      <c r="P9" s="1351"/>
      <c r="Q9" s="1352"/>
      <c r="R9" s="1356"/>
      <c r="S9" s="1356"/>
      <c r="T9" s="1352"/>
    </row>
    <row r="10" spans="1:20" ht="23.25" customHeight="1">
      <c r="A10" s="1319"/>
      <c r="B10" s="1393"/>
      <c r="C10" s="1388"/>
      <c r="D10" s="1353"/>
      <c r="E10" s="1352"/>
      <c r="F10" s="1352"/>
      <c r="G10" s="1352"/>
      <c r="H10" s="1352"/>
      <c r="I10" s="1352"/>
      <c r="J10" s="1352"/>
      <c r="K10" s="253" t="s">
        <v>273</v>
      </c>
      <c r="L10" s="253" t="s">
        <v>248</v>
      </c>
      <c r="M10" s="253" t="s">
        <v>274</v>
      </c>
      <c r="N10" s="253" t="s">
        <v>273</v>
      </c>
      <c r="O10" s="253" t="s">
        <v>275</v>
      </c>
      <c r="P10" s="253" t="s">
        <v>276</v>
      </c>
      <c r="Q10" s="1352"/>
      <c r="R10" s="1356"/>
      <c r="S10" s="1356"/>
      <c r="T10" s="1352"/>
    </row>
    <row r="11" spans="1:32" s="210" customFormat="1" ht="17.25" customHeight="1">
      <c r="A11" s="1389" t="s">
        <v>6</v>
      </c>
      <c r="B11" s="1390"/>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379" t="s">
        <v>430</v>
      </c>
      <c r="B12" s="1380"/>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382" t="s">
        <v>406</v>
      </c>
      <c r="B13" s="1383"/>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385" t="s">
        <v>277</v>
      </c>
      <c r="B14" s="1353"/>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375</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407</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378</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379</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380</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381</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386</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388</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389</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390</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392</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394</v>
      </c>
      <c r="AI28" s="199">
        <f>82/88</f>
        <v>0.9318181818181818</v>
      </c>
    </row>
    <row r="29" spans="1:20" ht="15.75" customHeight="1">
      <c r="A29" s="211"/>
      <c r="B29" s="1377" t="s">
        <v>418</v>
      </c>
      <c r="C29" s="1377"/>
      <c r="D29" s="1377"/>
      <c r="E29" s="1377"/>
      <c r="F29" s="267"/>
      <c r="G29" s="267"/>
      <c r="H29" s="267"/>
      <c r="I29" s="267"/>
      <c r="J29" s="267"/>
      <c r="K29" s="267"/>
      <c r="L29" s="215"/>
      <c r="M29" s="1376" t="s">
        <v>431</v>
      </c>
      <c r="N29" s="1376"/>
      <c r="O29" s="1376"/>
      <c r="P29" s="1376"/>
      <c r="Q29" s="1376"/>
      <c r="R29" s="1376"/>
      <c r="S29" s="1376"/>
      <c r="T29" s="1376"/>
    </row>
    <row r="30" spans="1:20" ht="18.75" customHeight="1">
      <c r="A30" s="211"/>
      <c r="B30" s="1378" t="s">
        <v>250</v>
      </c>
      <c r="C30" s="1378"/>
      <c r="D30" s="1378"/>
      <c r="E30" s="1378"/>
      <c r="F30" s="214"/>
      <c r="G30" s="214"/>
      <c r="H30" s="214"/>
      <c r="I30" s="214"/>
      <c r="J30" s="214"/>
      <c r="K30" s="214"/>
      <c r="L30" s="215"/>
      <c r="M30" s="1381" t="s">
        <v>251</v>
      </c>
      <c r="N30" s="1381"/>
      <c r="O30" s="1381"/>
      <c r="P30" s="1381"/>
      <c r="Q30" s="1381"/>
      <c r="R30" s="1381"/>
      <c r="S30" s="1381"/>
      <c r="T30" s="1381"/>
    </row>
    <row r="31" spans="1:20" ht="18.75">
      <c r="A31" s="217"/>
      <c r="B31" s="1332"/>
      <c r="C31" s="1332"/>
      <c r="D31" s="1332"/>
      <c r="E31" s="1332"/>
      <c r="F31" s="218"/>
      <c r="G31" s="218"/>
      <c r="H31" s="218"/>
      <c r="I31" s="218"/>
      <c r="J31" s="218"/>
      <c r="K31" s="218"/>
      <c r="L31" s="218"/>
      <c r="M31" s="1333"/>
      <c r="N31" s="1333"/>
      <c r="O31" s="1333"/>
      <c r="P31" s="1333"/>
      <c r="Q31" s="1333"/>
      <c r="R31" s="1333"/>
      <c r="S31" s="1333"/>
      <c r="T31" s="1333"/>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384" t="s">
        <v>397</v>
      </c>
      <c r="C33" s="1384"/>
      <c r="D33" s="1384"/>
      <c r="E33" s="1384"/>
      <c r="F33" s="1384"/>
      <c r="G33" s="268"/>
      <c r="H33" s="268"/>
      <c r="I33" s="268"/>
      <c r="J33" s="268"/>
      <c r="K33" s="268"/>
      <c r="L33" s="268"/>
      <c r="M33" s="268"/>
      <c r="N33" s="1384" t="s">
        <v>397</v>
      </c>
      <c r="O33" s="1384"/>
      <c r="P33" s="1384"/>
      <c r="Q33" s="1384"/>
      <c r="R33" s="1384"/>
      <c r="S33" s="1384"/>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201" t="s">
        <v>350</v>
      </c>
      <c r="C35" s="1201"/>
      <c r="D35" s="1201"/>
      <c r="E35" s="1201"/>
      <c r="F35" s="219"/>
      <c r="G35" s="219"/>
      <c r="H35" s="219"/>
      <c r="I35" s="191"/>
      <c r="J35" s="191"/>
      <c r="K35" s="191"/>
      <c r="L35" s="191"/>
      <c r="M35" s="1202" t="s">
        <v>351</v>
      </c>
      <c r="N35" s="1202"/>
      <c r="O35" s="1202"/>
      <c r="P35" s="1202"/>
      <c r="Q35" s="1202"/>
      <c r="R35" s="1202"/>
      <c r="S35" s="1202"/>
      <c r="T35" s="1202"/>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C6:C10"/>
    <mergeCell ref="E9:E10"/>
    <mergeCell ref="A11:B11"/>
    <mergeCell ref="F9:F10"/>
    <mergeCell ref="A6:B10"/>
    <mergeCell ref="F8:G8"/>
    <mergeCell ref="D7:J7"/>
    <mergeCell ref="A13:B13"/>
    <mergeCell ref="B33:F33"/>
    <mergeCell ref="N33:S33"/>
    <mergeCell ref="A14:B14"/>
    <mergeCell ref="M31:T31"/>
    <mergeCell ref="P5:T5"/>
    <mergeCell ref="D6:J6"/>
    <mergeCell ref="M35:T35"/>
    <mergeCell ref="M29:T29"/>
    <mergeCell ref="B35:E35"/>
    <mergeCell ref="B29:E29"/>
    <mergeCell ref="B30:E30"/>
    <mergeCell ref="B31:E31"/>
    <mergeCell ref="A12:B12"/>
    <mergeCell ref="M30:T30"/>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G9:G10"/>
    <mergeCell ref="T8:T10"/>
    <mergeCell ref="S8:S10"/>
    <mergeCell ref="K8:M9"/>
    <mergeCell ref="J8:J10"/>
    <mergeCell ref="H9:H10"/>
    <mergeCell ref="D9:D10"/>
    <mergeCell ref="H8:I8"/>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400" t="s">
        <v>280</v>
      </c>
      <c r="B1" s="1400"/>
      <c r="C1" s="1400"/>
      <c r="D1" s="1403" t="s">
        <v>470</v>
      </c>
      <c r="E1" s="1403"/>
      <c r="F1" s="1403"/>
      <c r="G1" s="1403"/>
      <c r="H1" s="1403"/>
      <c r="I1" s="1403"/>
      <c r="J1" s="1404" t="s">
        <v>471</v>
      </c>
      <c r="K1" s="1405"/>
      <c r="L1" s="1405"/>
    </row>
    <row r="2" spans="1:12" ht="34.5" customHeight="1">
      <c r="A2" s="1406" t="s">
        <v>432</v>
      </c>
      <c r="B2" s="1406"/>
      <c r="C2" s="1406"/>
      <c r="D2" s="1403"/>
      <c r="E2" s="1403"/>
      <c r="F2" s="1403"/>
      <c r="G2" s="1403"/>
      <c r="H2" s="1403"/>
      <c r="I2" s="1403"/>
      <c r="J2" s="1407" t="s">
        <v>472</v>
      </c>
      <c r="K2" s="1408"/>
      <c r="L2" s="1408"/>
    </row>
    <row r="3" spans="1:12" ht="15" customHeight="1">
      <c r="A3" s="274" t="s">
        <v>362</v>
      </c>
      <c r="B3" s="183"/>
      <c r="C3" s="1409"/>
      <c r="D3" s="1409"/>
      <c r="E3" s="1409"/>
      <c r="F3" s="1409"/>
      <c r="G3" s="1409"/>
      <c r="H3" s="1409"/>
      <c r="I3" s="1409"/>
      <c r="J3" s="1401"/>
      <c r="K3" s="1402"/>
      <c r="L3" s="1402"/>
    </row>
    <row r="4" spans="1:12" ht="15.75" customHeight="1">
      <c r="A4" s="275"/>
      <c r="B4" s="275"/>
      <c r="C4" s="276"/>
      <c r="D4" s="276"/>
      <c r="E4" s="179"/>
      <c r="F4" s="179"/>
      <c r="G4" s="179"/>
      <c r="H4" s="277"/>
      <c r="I4" s="277"/>
      <c r="J4" s="1410" t="s">
        <v>281</v>
      </c>
      <c r="K4" s="1410"/>
      <c r="L4" s="1410"/>
    </row>
    <row r="5" spans="1:12" s="278" customFormat="1" ht="28.5" customHeight="1">
      <c r="A5" s="1395" t="s">
        <v>72</v>
      </c>
      <c r="B5" s="1395"/>
      <c r="C5" s="1310" t="s">
        <v>38</v>
      </c>
      <c r="D5" s="1310" t="s">
        <v>282</v>
      </c>
      <c r="E5" s="1310"/>
      <c r="F5" s="1310"/>
      <c r="G5" s="1310"/>
      <c r="H5" s="1310" t="s">
        <v>283</v>
      </c>
      <c r="I5" s="1310"/>
      <c r="J5" s="1310" t="s">
        <v>284</v>
      </c>
      <c r="K5" s="1310"/>
      <c r="L5" s="1310"/>
    </row>
    <row r="6" spans="1:13" s="278" customFormat="1" ht="80.25" customHeight="1">
      <c r="A6" s="1395"/>
      <c r="B6" s="1395"/>
      <c r="C6" s="1310"/>
      <c r="D6" s="224" t="s">
        <v>285</v>
      </c>
      <c r="E6" s="224" t="s">
        <v>286</v>
      </c>
      <c r="F6" s="224" t="s">
        <v>433</v>
      </c>
      <c r="G6" s="224" t="s">
        <v>287</v>
      </c>
      <c r="H6" s="224" t="s">
        <v>288</v>
      </c>
      <c r="I6" s="224" t="s">
        <v>289</v>
      </c>
      <c r="J6" s="224" t="s">
        <v>290</v>
      </c>
      <c r="K6" s="224" t="s">
        <v>291</v>
      </c>
      <c r="L6" s="224" t="s">
        <v>292</v>
      </c>
      <c r="M6" s="279"/>
    </row>
    <row r="7" spans="1:12" s="280" customFormat="1" ht="16.5" customHeight="1">
      <c r="A7" s="1411" t="s">
        <v>6</v>
      </c>
      <c r="B7" s="1411"/>
      <c r="C7" s="230">
        <v>1</v>
      </c>
      <c r="D7" s="230">
        <v>2</v>
      </c>
      <c r="E7" s="230">
        <v>3</v>
      </c>
      <c r="F7" s="230">
        <v>4</v>
      </c>
      <c r="G7" s="230">
        <v>5</v>
      </c>
      <c r="H7" s="230">
        <v>6</v>
      </c>
      <c r="I7" s="230">
        <v>7</v>
      </c>
      <c r="J7" s="230">
        <v>8</v>
      </c>
      <c r="K7" s="230">
        <v>9</v>
      </c>
      <c r="L7" s="230">
        <v>10</v>
      </c>
    </row>
    <row r="8" spans="1:12" s="280" customFormat="1" ht="16.5" customHeight="1">
      <c r="A8" s="1398" t="s">
        <v>430</v>
      </c>
      <c r="B8" s="1399"/>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396" t="s">
        <v>406</v>
      </c>
      <c r="B9" s="1397"/>
      <c r="C9" s="233">
        <v>9</v>
      </c>
      <c r="D9" s="233">
        <v>2</v>
      </c>
      <c r="E9" s="233">
        <v>2</v>
      </c>
      <c r="F9" s="233">
        <v>0</v>
      </c>
      <c r="G9" s="233">
        <v>5</v>
      </c>
      <c r="H9" s="233">
        <v>8</v>
      </c>
      <c r="I9" s="233">
        <v>0</v>
      </c>
      <c r="J9" s="233">
        <v>8</v>
      </c>
      <c r="K9" s="233">
        <v>1</v>
      </c>
      <c r="L9" s="233">
        <v>0</v>
      </c>
    </row>
    <row r="10" spans="1:12" s="280" customFormat="1" ht="16.5" customHeight="1">
      <c r="A10" s="1412" t="s">
        <v>277</v>
      </c>
      <c r="B10" s="1412"/>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375</v>
      </c>
      <c r="C13" s="281">
        <f aca="true" t="shared" si="3" ref="C13:C23">D13+E13+F13+G13</f>
        <v>0</v>
      </c>
      <c r="D13" s="240">
        <v>0</v>
      </c>
      <c r="E13" s="240">
        <v>0</v>
      </c>
      <c r="F13" s="240">
        <v>0</v>
      </c>
      <c r="G13" s="240">
        <v>0</v>
      </c>
      <c r="H13" s="240">
        <v>0</v>
      </c>
      <c r="I13" s="240">
        <v>0</v>
      </c>
      <c r="J13" s="282">
        <v>0</v>
      </c>
      <c r="K13" s="282">
        <v>0</v>
      </c>
      <c r="L13" s="282">
        <v>0</v>
      </c>
      <c r="AF13" s="280" t="s">
        <v>374</v>
      </c>
    </row>
    <row r="14" spans="1:37" s="280" customFormat="1" ht="16.5" customHeight="1">
      <c r="A14" s="283">
        <v>2</v>
      </c>
      <c r="B14" s="77" t="s">
        <v>407</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378</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379</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434</v>
      </c>
      <c r="C17" s="281">
        <f t="shared" si="3"/>
        <v>1</v>
      </c>
      <c r="D17" s="240">
        <v>0</v>
      </c>
      <c r="E17" s="240">
        <v>0</v>
      </c>
      <c r="F17" s="240">
        <v>0</v>
      </c>
      <c r="G17" s="240">
        <v>1</v>
      </c>
      <c r="H17" s="240">
        <v>1</v>
      </c>
      <c r="I17" s="240">
        <v>0</v>
      </c>
      <c r="J17" s="282">
        <v>1</v>
      </c>
      <c r="K17" s="282">
        <v>0</v>
      </c>
      <c r="L17" s="282">
        <v>0</v>
      </c>
      <c r="AF17" s="208" t="s">
        <v>377</v>
      </c>
    </row>
    <row r="18" spans="1:12" s="280" customFormat="1" ht="16.5" customHeight="1">
      <c r="A18" s="283">
        <v>6</v>
      </c>
      <c r="B18" s="77" t="s">
        <v>381</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386</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388</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389</v>
      </c>
      <c r="C21" s="281">
        <f t="shared" si="3"/>
        <v>0</v>
      </c>
      <c r="D21" s="240">
        <v>0</v>
      </c>
      <c r="E21" s="240">
        <v>0</v>
      </c>
      <c r="F21" s="240">
        <v>0</v>
      </c>
      <c r="G21" s="240">
        <v>0</v>
      </c>
      <c r="H21" s="240">
        <v>0</v>
      </c>
      <c r="I21" s="240">
        <v>0</v>
      </c>
      <c r="J21" s="282">
        <v>0</v>
      </c>
      <c r="K21" s="282">
        <v>0</v>
      </c>
      <c r="L21" s="282">
        <v>0</v>
      </c>
      <c r="AJ21" s="280" t="s">
        <v>382</v>
      </c>
      <c r="AK21" s="280" t="s">
        <v>383</v>
      </c>
      <c r="AL21" s="280" t="s">
        <v>384</v>
      </c>
      <c r="AM21" s="208" t="s">
        <v>385</v>
      </c>
    </row>
    <row r="22" spans="1:39" s="280" customFormat="1" ht="16.5" customHeight="1">
      <c r="A22" s="283">
        <v>10</v>
      </c>
      <c r="B22" s="77" t="s">
        <v>390</v>
      </c>
      <c r="C22" s="281">
        <f t="shared" si="3"/>
        <v>1</v>
      </c>
      <c r="D22" s="240">
        <v>0</v>
      </c>
      <c r="E22" s="240">
        <v>1</v>
      </c>
      <c r="F22" s="240">
        <v>0</v>
      </c>
      <c r="G22" s="240">
        <v>0</v>
      </c>
      <c r="H22" s="240">
        <v>1</v>
      </c>
      <c r="I22" s="240">
        <v>0</v>
      </c>
      <c r="J22" s="282">
        <v>1</v>
      </c>
      <c r="K22" s="282">
        <v>0</v>
      </c>
      <c r="L22" s="282">
        <v>0</v>
      </c>
      <c r="AM22" s="208" t="s">
        <v>387</v>
      </c>
    </row>
    <row r="23" spans="1:12" s="280" customFormat="1" ht="16.5" customHeight="1">
      <c r="A23" s="283">
        <v>11</v>
      </c>
      <c r="B23" s="77" t="s">
        <v>392</v>
      </c>
      <c r="C23" s="281">
        <f t="shared" si="3"/>
        <v>0</v>
      </c>
      <c r="D23" s="240">
        <v>0</v>
      </c>
      <c r="E23" s="240">
        <v>0</v>
      </c>
      <c r="F23" s="240">
        <v>0</v>
      </c>
      <c r="G23" s="240">
        <v>0</v>
      </c>
      <c r="H23" s="240">
        <v>0</v>
      </c>
      <c r="I23" s="240">
        <v>0</v>
      </c>
      <c r="J23" s="282">
        <v>0</v>
      </c>
      <c r="K23" s="282">
        <v>0</v>
      </c>
      <c r="L23" s="282">
        <v>0</v>
      </c>
    </row>
    <row r="24" ht="9" customHeight="1">
      <c r="AJ24" s="242" t="s">
        <v>382</v>
      </c>
    </row>
    <row r="25" spans="1:36" ht="15.75" customHeight="1">
      <c r="A25" s="1345" t="s">
        <v>435</v>
      </c>
      <c r="B25" s="1345"/>
      <c r="C25" s="1345"/>
      <c r="D25" s="1345"/>
      <c r="E25" s="191"/>
      <c r="F25" s="1350" t="s">
        <v>393</v>
      </c>
      <c r="G25" s="1350"/>
      <c r="H25" s="1350"/>
      <c r="I25" s="1350"/>
      <c r="J25" s="1350"/>
      <c r="K25" s="1350"/>
      <c r="L25" s="1350"/>
      <c r="AJ25" s="199" t="s">
        <v>391</v>
      </c>
    </row>
    <row r="26" spans="1:44" ht="15" customHeight="1">
      <c r="A26" s="1335" t="s">
        <v>250</v>
      </c>
      <c r="B26" s="1335"/>
      <c r="C26" s="1335"/>
      <c r="D26" s="1335"/>
      <c r="E26" s="192"/>
      <c r="F26" s="1338" t="s">
        <v>251</v>
      </c>
      <c r="G26" s="1338"/>
      <c r="H26" s="1338"/>
      <c r="I26" s="1338"/>
      <c r="J26" s="1338"/>
      <c r="K26" s="1338"/>
      <c r="L26" s="1338"/>
      <c r="AR26" s="199"/>
    </row>
    <row r="27" spans="1:12" s="179" customFormat="1" ht="18.75">
      <c r="A27" s="1332"/>
      <c r="B27" s="1332"/>
      <c r="C27" s="1332"/>
      <c r="D27" s="1332"/>
      <c r="E27" s="191"/>
      <c r="F27" s="1333"/>
      <c r="G27" s="1333"/>
      <c r="H27" s="1333"/>
      <c r="I27" s="1333"/>
      <c r="J27" s="1333"/>
      <c r="K27" s="1333"/>
      <c r="L27" s="1333"/>
    </row>
    <row r="28" spans="1:35" ht="18">
      <c r="A28" s="196"/>
      <c r="B28" s="196"/>
      <c r="C28" s="191"/>
      <c r="D28" s="191"/>
      <c r="E28" s="191"/>
      <c r="F28" s="191"/>
      <c r="G28" s="191"/>
      <c r="H28" s="191"/>
      <c r="I28" s="191"/>
      <c r="J28" s="191"/>
      <c r="K28" s="191"/>
      <c r="L28" s="191"/>
      <c r="AG28" s="242" t="s">
        <v>394</v>
      </c>
      <c r="AI28" s="199">
        <f>82/88</f>
        <v>0.9318181818181818</v>
      </c>
    </row>
    <row r="29" spans="1:12" ht="18">
      <c r="A29" s="196"/>
      <c r="B29" s="1394" t="s">
        <v>397</v>
      </c>
      <c r="C29" s="1394"/>
      <c r="D29" s="191"/>
      <c r="E29" s="191"/>
      <c r="F29" s="191"/>
      <c r="G29" s="191"/>
      <c r="H29" s="1394" t="s">
        <v>397</v>
      </c>
      <c r="I29" s="1394"/>
      <c r="J29" s="1394"/>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201" t="s">
        <v>350</v>
      </c>
      <c r="B37" s="1201"/>
      <c r="C37" s="1201"/>
      <c r="D37" s="1201"/>
      <c r="E37" s="219"/>
      <c r="F37" s="1202" t="s">
        <v>351</v>
      </c>
      <c r="G37" s="1202"/>
      <c r="H37" s="1202"/>
      <c r="I37" s="1202"/>
      <c r="J37" s="1202"/>
      <c r="K37" s="1202"/>
      <c r="L37" s="1202"/>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413" t="s">
        <v>298</v>
      </c>
      <c r="B1" s="1413"/>
      <c r="C1" s="1413"/>
      <c r="D1" s="1403" t="s">
        <v>473</v>
      </c>
      <c r="E1" s="1403"/>
      <c r="F1" s="1403"/>
      <c r="G1" s="1403"/>
      <c r="H1" s="1403"/>
      <c r="I1" s="179"/>
      <c r="J1" s="180" t="s">
        <v>467</v>
      </c>
      <c r="K1" s="289"/>
      <c r="L1" s="289"/>
    </row>
    <row r="2" spans="1:12" ht="15.75" customHeight="1">
      <c r="A2" s="1417" t="s">
        <v>408</v>
      </c>
      <c r="B2" s="1417"/>
      <c r="C2" s="1417"/>
      <c r="D2" s="1403"/>
      <c r="E2" s="1403"/>
      <c r="F2" s="1403"/>
      <c r="G2" s="1403"/>
      <c r="H2" s="1403"/>
      <c r="I2" s="179"/>
      <c r="J2" s="290" t="s">
        <v>409</v>
      </c>
      <c r="K2" s="290"/>
      <c r="L2" s="290"/>
    </row>
    <row r="3" spans="1:12" ht="18.75" customHeight="1">
      <c r="A3" s="1323" t="s">
        <v>360</v>
      </c>
      <c r="B3" s="1323"/>
      <c r="C3" s="1323"/>
      <c r="D3" s="176"/>
      <c r="E3" s="176"/>
      <c r="F3" s="176"/>
      <c r="G3" s="176"/>
      <c r="H3" s="176"/>
      <c r="I3" s="179"/>
      <c r="J3" s="183" t="s">
        <v>466</v>
      </c>
      <c r="K3" s="183"/>
      <c r="L3" s="183"/>
    </row>
    <row r="4" spans="1:12" ht="15.75" customHeight="1">
      <c r="A4" s="1414" t="s">
        <v>436</v>
      </c>
      <c r="B4" s="1414"/>
      <c r="C4" s="1414"/>
      <c r="D4" s="1429"/>
      <c r="E4" s="1429"/>
      <c r="F4" s="1429"/>
      <c r="G4" s="1429"/>
      <c r="H4" s="1429"/>
      <c r="I4" s="179"/>
      <c r="J4" s="291" t="s">
        <v>401</v>
      </c>
      <c r="K4" s="291"/>
      <c r="L4" s="291"/>
    </row>
    <row r="5" spans="1:12" ht="15.75">
      <c r="A5" s="1418"/>
      <c r="B5" s="1418"/>
      <c r="C5" s="175"/>
      <c r="D5" s="179"/>
      <c r="E5" s="179"/>
      <c r="F5" s="179"/>
      <c r="G5" s="179"/>
      <c r="H5" s="292"/>
      <c r="I5" s="1430" t="s">
        <v>437</v>
      </c>
      <c r="J5" s="1430"/>
      <c r="K5" s="1430"/>
      <c r="L5" s="1430"/>
    </row>
    <row r="6" spans="1:12" ht="18.75" customHeight="1">
      <c r="A6" s="1315" t="s">
        <v>72</v>
      </c>
      <c r="B6" s="1316"/>
      <c r="C6" s="1425" t="s">
        <v>299</v>
      </c>
      <c r="D6" s="1336" t="s">
        <v>300</v>
      </c>
      <c r="E6" s="1428"/>
      <c r="F6" s="1337"/>
      <c r="G6" s="1336" t="s">
        <v>301</v>
      </c>
      <c r="H6" s="1428"/>
      <c r="I6" s="1428"/>
      <c r="J6" s="1428"/>
      <c r="K6" s="1428"/>
      <c r="L6" s="1337"/>
    </row>
    <row r="7" spans="1:12" ht="15.75" customHeight="1">
      <c r="A7" s="1317"/>
      <c r="B7" s="1318"/>
      <c r="C7" s="1427"/>
      <c r="D7" s="1336" t="s">
        <v>7</v>
      </c>
      <c r="E7" s="1428"/>
      <c r="F7" s="1337"/>
      <c r="G7" s="1425" t="s">
        <v>37</v>
      </c>
      <c r="H7" s="1336" t="s">
        <v>7</v>
      </c>
      <c r="I7" s="1428"/>
      <c r="J7" s="1428"/>
      <c r="K7" s="1428"/>
      <c r="L7" s="1337"/>
    </row>
    <row r="8" spans="1:12" ht="14.25" customHeight="1">
      <c r="A8" s="1317"/>
      <c r="B8" s="1318"/>
      <c r="C8" s="1427"/>
      <c r="D8" s="1425" t="s">
        <v>302</v>
      </c>
      <c r="E8" s="1425" t="s">
        <v>303</v>
      </c>
      <c r="F8" s="1425" t="s">
        <v>304</v>
      </c>
      <c r="G8" s="1427"/>
      <c r="H8" s="1425" t="s">
        <v>305</v>
      </c>
      <c r="I8" s="1425" t="s">
        <v>306</v>
      </c>
      <c r="J8" s="1425" t="s">
        <v>307</v>
      </c>
      <c r="K8" s="1425" t="s">
        <v>308</v>
      </c>
      <c r="L8" s="1425" t="s">
        <v>309</v>
      </c>
    </row>
    <row r="9" spans="1:12" ht="77.25" customHeight="1">
      <c r="A9" s="1319"/>
      <c r="B9" s="1320"/>
      <c r="C9" s="1426"/>
      <c r="D9" s="1426"/>
      <c r="E9" s="1426"/>
      <c r="F9" s="1426"/>
      <c r="G9" s="1426"/>
      <c r="H9" s="1426"/>
      <c r="I9" s="1426"/>
      <c r="J9" s="1426"/>
      <c r="K9" s="1426"/>
      <c r="L9" s="1426"/>
    </row>
    <row r="10" spans="1:12" s="280" customFormat="1" ht="16.5" customHeight="1">
      <c r="A10" s="1419" t="s">
        <v>6</v>
      </c>
      <c r="B10" s="1420"/>
      <c r="C10" s="229">
        <v>1</v>
      </c>
      <c r="D10" s="229">
        <v>2</v>
      </c>
      <c r="E10" s="229">
        <v>3</v>
      </c>
      <c r="F10" s="229">
        <v>4</v>
      </c>
      <c r="G10" s="229">
        <v>5</v>
      </c>
      <c r="H10" s="229">
        <v>6</v>
      </c>
      <c r="I10" s="229">
        <v>7</v>
      </c>
      <c r="J10" s="229">
        <v>8</v>
      </c>
      <c r="K10" s="230" t="s">
        <v>78</v>
      </c>
      <c r="L10" s="230" t="s">
        <v>101</v>
      </c>
    </row>
    <row r="11" spans="1:12" s="280" customFormat="1" ht="16.5" customHeight="1">
      <c r="A11" s="1423" t="s">
        <v>405</v>
      </c>
      <c r="B11" s="1424"/>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421" t="s">
        <v>406</v>
      </c>
      <c r="B12" s="1422"/>
      <c r="C12" s="233">
        <v>12</v>
      </c>
      <c r="D12" s="233">
        <v>0</v>
      </c>
      <c r="E12" s="233">
        <v>1</v>
      </c>
      <c r="F12" s="233">
        <v>11</v>
      </c>
      <c r="G12" s="233">
        <v>10</v>
      </c>
      <c r="H12" s="233">
        <v>0</v>
      </c>
      <c r="I12" s="233">
        <v>0</v>
      </c>
      <c r="J12" s="233">
        <v>0</v>
      </c>
      <c r="K12" s="233">
        <v>6</v>
      </c>
      <c r="L12" s="233">
        <v>4</v>
      </c>
    </row>
    <row r="13" spans="1:32" s="280" customFormat="1" ht="16.5" customHeight="1">
      <c r="A13" s="1415" t="s">
        <v>37</v>
      </c>
      <c r="B13" s="1416"/>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374</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375</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376</v>
      </c>
      <c r="C17" s="235">
        <f t="shared" si="2"/>
        <v>1</v>
      </c>
      <c r="D17" s="240">
        <v>0</v>
      </c>
      <c r="E17" s="240">
        <v>0</v>
      </c>
      <c r="F17" s="240">
        <v>1</v>
      </c>
      <c r="G17" s="235">
        <f t="shared" si="1"/>
        <v>1</v>
      </c>
      <c r="H17" s="240">
        <v>0</v>
      </c>
      <c r="I17" s="240">
        <v>0</v>
      </c>
      <c r="J17" s="282">
        <v>0</v>
      </c>
      <c r="K17" s="282">
        <v>0</v>
      </c>
      <c r="L17" s="282">
        <v>1</v>
      </c>
      <c r="M17" s="294"/>
      <c r="AF17" s="208" t="s">
        <v>377</v>
      </c>
    </row>
    <row r="18" spans="1:14" s="280" customFormat="1" ht="15.75" customHeight="1">
      <c r="A18" s="209">
        <v>3</v>
      </c>
      <c r="B18" s="77" t="s">
        <v>378</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379</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380</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381</v>
      </c>
      <c r="C21" s="235">
        <f t="shared" si="2"/>
        <v>0</v>
      </c>
      <c r="D21" s="240">
        <v>0</v>
      </c>
      <c r="E21" s="240">
        <v>0</v>
      </c>
      <c r="F21" s="240">
        <v>0</v>
      </c>
      <c r="G21" s="235">
        <f t="shared" si="1"/>
        <v>0</v>
      </c>
      <c r="H21" s="240">
        <v>0</v>
      </c>
      <c r="I21" s="240">
        <v>0</v>
      </c>
      <c r="J21" s="282">
        <v>0</v>
      </c>
      <c r="K21" s="282">
        <v>0</v>
      </c>
      <c r="L21" s="282">
        <v>0</v>
      </c>
      <c r="M21" s="294"/>
      <c r="AJ21" s="280" t="s">
        <v>382</v>
      </c>
      <c r="AK21" s="280" t="s">
        <v>383</v>
      </c>
      <c r="AL21" s="280" t="s">
        <v>384</v>
      </c>
      <c r="AM21" s="208" t="s">
        <v>385</v>
      </c>
    </row>
    <row r="22" spans="1:39" s="280" customFormat="1" ht="15.75" customHeight="1">
      <c r="A22" s="209">
        <v>7</v>
      </c>
      <c r="B22" s="77" t="s">
        <v>386</v>
      </c>
      <c r="C22" s="235">
        <f t="shared" si="2"/>
        <v>0</v>
      </c>
      <c r="D22" s="240">
        <v>0</v>
      </c>
      <c r="E22" s="240">
        <v>0</v>
      </c>
      <c r="F22" s="240">
        <v>0</v>
      </c>
      <c r="G22" s="235">
        <f t="shared" si="1"/>
        <v>0</v>
      </c>
      <c r="H22" s="240">
        <v>0</v>
      </c>
      <c r="I22" s="240">
        <v>0</v>
      </c>
      <c r="J22" s="282">
        <v>0</v>
      </c>
      <c r="K22" s="282">
        <v>0</v>
      </c>
      <c r="L22" s="282">
        <v>0</v>
      </c>
      <c r="M22" s="294"/>
      <c r="N22" s="187"/>
      <c r="AM22" s="208" t="s">
        <v>387</v>
      </c>
    </row>
    <row r="23" spans="1:13" s="280" customFormat="1" ht="15.75" customHeight="1">
      <c r="A23" s="209">
        <v>8</v>
      </c>
      <c r="B23" s="77" t="s">
        <v>388</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389</v>
      </c>
      <c r="C24" s="235">
        <f t="shared" si="2"/>
        <v>0</v>
      </c>
      <c r="D24" s="240">
        <v>0</v>
      </c>
      <c r="E24" s="240">
        <v>0</v>
      </c>
      <c r="F24" s="240">
        <v>0</v>
      </c>
      <c r="G24" s="235">
        <f t="shared" si="1"/>
        <v>0</v>
      </c>
      <c r="H24" s="240">
        <v>0</v>
      </c>
      <c r="I24" s="240">
        <v>0</v>
      </c>
      <c r="J24" s="282">
        <v>0</v>
      </c>
      <c r="K24" s="282">
        <v>0</v>
      </c>
      <c r="L24" s="282">
        <v>0</v>
      </c>
      <c r="M24" s="294"/>
      <c r="AJ24" s="280" t="s">
        <v>382</v>
      </c>
    </row>
    <row r="25" spans="1:36" s="280" customFormat="1" ht="15.75" customHeight="1">
      <c r="A25" s="209">
        <v>10</v>
      </c>
      <c r="B25" s="77" t="s">
        <v>390</v>
      </c>
      <c r="C25" s="235">
        <f t="shared" si="2"/>
        <v>1</v>
      </c>
      <c r="D25" s="240">
        <v>0</v>
      </c>
      <c r="E25" s="240">
        <v>0</v>
      </c>
      <c r="F25" s="240">
        <v>1</v>
      </c>
      <c r="G25" s="235">
        <f t="shared" si="1"/>
        <v>1</v>
      </c>
      <c r="H25" s="240">
        <v>0</v>
      </c>
      <c r="I25" s="240">
        <v>0</v>
      </c>
      <c r="J25" s="282">
        <v>0</v>
      </c>
      <c r="K25" s="282">
        <v>0</v>
      </c>
      <c r="L25" s="282">
        <v>1</v>
      </c>
      <c r="M25" s="294"/>
      <c r="AJ25" s="208" t="s">
        <v>391</v>
      </c>
    </row>
    <row r="26" spans="1:44" s="280" customFormat="1" ht="15.75" customHeight="1">
      <c r="A26" s="209">
        <v>11</v>
      </c>
      <c r="B26" s="77" t="s">
        <v>392</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345" t="s">
        <v>393</v>
      </c>
      <c r="B28" s="1345"/>
      <c r="C28" s="1345"/>
      <c r="D28" s="1345"/>
      <c r="E28" s="1345"/>
      <c r="F28" s="191"/>
      <c r="G28" s="190"/>
      <c r="H28" s="303" t="s">
        <v>438</v>
      </c>
      <c r="I28" s="304"/>
      <c r="J28" s="304"/>
      <c r="K28" s="304"/>
      <c r="L28" s="304"/>
      <c r="AG28" s="242" t="s">
        <v>394</v>
      </c>
      <c r="AI28" s="199">
        <f>82/88</f>
        <v>0.9318181818181818</v>
      </c>
    </row>
    <row r="29" spans="1:12" ht="15" customHeight="1">
      <c r="A29" s="1335" t="s">
        <v>4</v>
      </c>
      <c r="B29" s="1335"/>
      <c r="C29" s="1335"/>
      <c r="D29" s="1335"/>
      <c r="E29" s="1335"/>
      <c r="F29" s="191"/>
      <c r="G29" s="192"/>
      <c r="H29" s="1338" t="s">
        <v>251</v>
      </c>
      <c r="I29" s="1338"/>
      <c r="J29" s="1338"/>
      <c r="K29" s="1338"/>
      <c r="L29" s="1338"/>
    </row>
    <row r="30" spans="1:14" s="179" customFormat="1" ht="18.75">
      <c r="A30" s="1332"/>
      <c r="B30" s="1332"/>
      <c r="C30" s="1332"/>
      <c r="D30" s="1332"/>
      <c r="E30" s="1332"/>
      <c r="F30" s="305"/>
      <c r="G30" s="191"/>
      <c r="H30" s="1333"/>
      <c r="I30" s="1333"/>
      <c r="J30" s="1333"/>
      <c r="K30" s="1333"/>
      <c r="L30" s="1333"/>
      <c r="M30" s="306"/>
      <c r="N30" s="306"/>
    </row>
    <row r="31" spans="1:12" ht="18">
      <c r="A31" s="191"/>
      <c r="B31" s="191"/>
      <c r="C31" s="191"/>
      <c r="D31" s="191"/>
      <c r="E31" s="191"/>
      <c r="F31" s="191"/>
      <c r="G31" s="191"/>
      <c r="H31" s="191"/>
      <c r="I31" s="191"/>
      <c r="J31" s="191"/>
      <c r="K31" s="191"/>
      <c r="L31" s="307"/>
    </row>
    <row r="32" spans="1:12" ht="18">
      <c r="A32" s="191"/>
      <c r="B32" s="1394" t="s">
        <v>397</v>
      </c>
      <c r="C32" s="1394"/>
      <c r="D32" s="1394"/>
      <c r="E32" s="1394"/>
      <c r="F32" s="191"/>
      <c r="G32" s="191"/>
      <c r="H32" s="191"/>
      <c r="I32" s="1394" t="s">
        <v>397</v>
      </c>
      <c r="J32" s="1394"/>
      <c r="K32" s="1394"/>
      <c r="L32" s="307"/>
    </row>
    <row r="33" spans="1:12" ht="10.5" customHeight="1">
      <c r="A33" s="191"/>
      <c r="B33" s="191"/>
      <c r="C33" s="308" t="s">
        <v>396</v>
      </c>
      <c r="D33" s="308"/>
      <c r="E33" s="308"/>
      <c r="F33" s="308"/>
      <c r="G33" s="308"/>
      <c r="H33" s="308"/>
      <c r="I33" s="308"/>
      <c r="J33" s="309" t="s">
        <v>396</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431" t="s">
        <v>310</v>
      </c>
      <c r="C40" s="1431"/>
      <c r="D40" s="1431"/>
      <c r="E40" s="1431"/>
      <c r="F40" s="1431"/>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1201" t="s">
        <v>439</v>
      </c>
      <c r="B43" s="1201"/>
      <c r="C43" s="1201"/>
      <c r="D43" s="1201"/>
      <c r="E43" s="1201"/>
      <c r="F43" s="191"/>
      <c r="G43" s="310"/>
      <c r="H43" s="1202" t="s">
        <v>351</v>
      </c>
      <c r="I43" s="1202"/>
      <c r="J43" s="1202"/>
      <c r="K43" s="1202"/>
      <c r="L43" s="1202"/>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326" t="s">
        <v>313</v>
      </c>
      <c r="B1" s="1326"/>
      <c r="C1" s="1326"/>
      <c r="D1" s="1326"/>
      <c r="E1" s="315"/>
      <c r="F1" s="1321" t="s">
        <v>474</v>
      </c>
      <c r="G1" s="1321"/>
      <c r="H1" s="1321"/>
      <c r="I1" s="1321"/>
      <c r="J1" s="1321"/>
      <c r="K1" s="1321"/>
      <c r="L1" s="1321"/>
      <c r="M1" s="1321"/>
      <c r="N1" s="1321"/>
      <c r="O1" s="1321"/>
      <c r="P1" s="316" t="s">
        <v>398</v>
      </c>
      <c r="Q1" s="317"/>
      <c r="R1" s="317"/>
      <c r="S1" s="317"/>
      <c r="T1" s="317"/>
    </row>
    <row r="2" spans="1:20" s="186" customFormat="1" ht="20.25" customHeight="1">
      <c r="A2" s="1433" t="s">
        <v>408</v>
      </c>
      <c r="B2" s="1433"/>
      <c r="C2" s="1433"/>
      <c r="D2" s="1433"/>
      <c r="E2" s="315"/>
      <c r="F2" s="1321"/>
      <c r="G2" s="1321"/>
      <c r="H2" s="1321"/>
      <c r="I2" s="1321"/>
      <c r="J2" s="1321"/>
      <c r="K2" s="1321"/>
      <c r="L2" s="1321"/>
      <c r="M2" s="1321"/>
      <c r="N2" s="1321"/>
      <c r="O2" s="1321"/>
      <c r="P2" s="317" t="s">
        <v>440</v>
      </c>
      <c r="Q2" s="317"/>
      <c r="R2" s="317"/>
      <c r="S2" s="317"/>
      <c r="T2" s="317"/>
    </row>
    <row r="3" spans="1:20" s="186" customFormat="1" ht="15" customHeight="1">
      <c r="A3" s="1433" t="s">
        <v>360</v>
      </c>
      <c r="B3" s="1433"/>
      <c r="C3" s="1433"/>
      <c r="D3" s="1433"/>
      <c r="E3" s="315"/>
      <c r="F3" s="1321"/>
      <c r="G3" s="1321"/>
      <c r="H3" s="1321"/>
      <c r="I3" s="1321"/>
      <c r="J3" s="1321"/>
      <c r="K3" s="1321"/>
      <c r="L3" s="1321"/>
      <c r="M3" s="1321"/>
      <c r="N3" s="1321"/>
      <c r="O3" s="1321"/>
      <c r="P3" s="316" t="s">
        <v>466</v>
      </c>
      <c r="Q3" s="316"/>
      <c r="R3" s="316"/>
      <c r="S3" s="318"/>
      <c r="T3" s="318"/>
    </row>
    <row r="4" spans="1:20" s="186" customFormat="1" ht="15.75" customHeight="1">
      <c r="A4" s="1432" t="s">
        <v>441</v>
      </c>
      <c r="B4" s="1432"/>
      <c r="C4" s="1432"/>
      <c r="D4" s="1432"/>
      <c r="E4" s="316"/>
      <c r="F4" s="1321"/>
      <c r="G4" s="1321"/>
      <c r="H4" s="1321"/>
      <c r="I4" s="1321"/>
      <c r="J4" s="1321"/>
      <c r="K4" s="1321"/>
      <c r="L4" s="1321"/>
      <c r="M4" s="1321"/>
      <c r="N4" s="1321"/>
      <c r="O4" s="1321"/>
      <c r="P4" s="317" t="s">
        <v>410</v>
      </c>
      <c r="Q4" s="316"/>
      <c r="R4" s="316"/>
      <c r="S4" s="318"/>
      <c r="T4" s="318"/>
    </row>
    <row r="5" spans="1:18" s="186" customFormat="1" ht="24" customHeight="1">
      <c r="A5" s="319"/>
      <c r="B5" s="319"/>
      <c r="C5" s="319"/>
      <c r="F5" s="1434"/>
      <c r="G5" s="1434"/>
      <c r="H5" s="1434"/>
      <c r="I5" s="1434"/>
      <c r="J5" s="1434"/>
      <c r="K5" s="1434"/>
      <c r="L5" s="1434"/>
      <c r="M5" s="1434"/>
      <c r="N5" s="1434"/>
      <c r="O5" s="1434"/>
      <c r="P5" s="320" t="s">
        <v>442</v>
      </c>
      <c r="Q5" s="321"/>
      <c r="R5" s="321"/>
    </row>
    <row r="6" spans="1:20" s="322" customFormat="1" ht="21.75" customHeight="1">
      <c r="A6" s="1445" t="s">
        <v>72</v>
      </c>
      <c r="B6" s="1446"/>
      <c r="C6" s="1329" t="s">
        <v>38</v>
      </c>
      <c r="D6" s="1313"/>
      <c r="E6" s="1329" t="s">
        <v>7</v>
      </c>
      <c r="F6" s="1437"/>
      <c r="G6" s="1437"/>
      <c r="H6" s="1437"/>
      <c r="I6" s="1437"/>
      <c r="J6" s="1437"/>
      <c r="K6" s="1437"/>
      <c r="L6" s="1437"/>
      <c r="M6" s="1437"/>
      <c r="N6" s="1437"/>
      <c r="O6" s="1437"/>
      <c r="P6" s="1437"/>
      <c r="Q6" s="1437"/>
      <c r="R6" s="1437"/>
      <c r="S6" s="1437"/>
      <c r="T6" s="1313"/>
    </row>
    <row r="7" spans="1:21" s="322" customFormat="1" ht="22.5" customHeight="1">
      <c r="A7" s="1447"/>
      <c r="B7" s="1448"/>
      <c r="C7" s="1346" t="s">
        <v>443</v>
      </c>
      <c r="D7" s="1346" t="s">
        <v>444</v>
      </c>
      <c r="E7" s="1329" t="s">
        <v>314</v>
      </c>
      <c r="F7" s="1440"/>
      <c r="G7" s="1440"/>
      <c r="H7" s="1440"/>
      <c r="I7" s="1440"/>
      <c r="J7" s="1440"/>
      <c r="K7" s="1440"/>
      <c r="L7" s="1441"/>
      <c r="M7" s="1329" t="s">
        <v>445</v>
      </c>
      <c r="N7" s="1437"/>
      <c r="O7" s="1437"/>
      <c r="P7" s="1437"/>
      <c r="Q7" s="1437"/>
      <c r="R7" s="1437"/>
      <c r="S7" s="1437"/>
      <c r="T7" s="1313"/>
      <c r="U7" s="323"/>
    </row>
    <row r="8" spans="1:20" s="322" customFormat="1" ht="42.75" customHeight="1">
      <c r="A8" s="1447"/>
      <c r="B8" s="1448"/>
      <c r="C8" s="1347"/>
      <c r="D8" s="1347"/>
      <c r="E8" s="1310" t="s">
        <v>446</v>
      </c>
      <c r="F8" s="1310"/>
      <c r="G8" s="1329" t="s">
        <v>447</v>
      </c>
      <c r="H8" s="1437"/>
      <c r="I8" s="1437"/>
      <c r="J8" s="1437"/>
      <c r="K8" s="1437"/>
      <c r="L8" s="1313"/>
      <c r="M8" s="1310" t="s">
        <v>448</v>
      </c>
      <c r="N8" s="1310"/>
      <c r="O8" s="1329" t="s">
        <v>447</v>
      </c>
      <c r="P8" s="1437"/>
      <c r="Q8" s="1437"/>
      <c r="R8" s="1437"/>
      <c r="S8" s="1437"/>
      <c r="T8" s="1313"/>
    </row>
    <row r="9" spans="1:20" s="322" customFormat="1" ht="35.25" customHeight="1">
      <c r="A9" s="1447"/>
      <c r="B9" s="1448"/>
      <c r="C9" s="1347"/>
      <c r="D9" s="1347"/>
      <c r="E9" s="1346" t="s">
        <v>315</v>
      </c>
      <c r="F9" s="1346" t="s">
        <v>316</v>
      </c>
      <c r="G9" s="1438" t="s">
        <v>317</v>
      </c>
      <c r="H9" s="1439"/>
      <c r="I9" s="1438" t="s">
        <v>318</v>
      </c>
      <c r="J9" s="1439"/>
      <c r="K9" s="1438" t="s">
        <v>319</v>
      </c>
      <c r="L9" s="1439"/>
      <c r="M9" s="1346" t="s">
        <v>320</v>
      </c>
      <c r="N9" s="1346" t="s">
        <v>316</v>
      </c>
      <c r="O9" s="1438" t="s">
        <v>317</v>
      </c>
      <c r="P9" s="1439"/>
      <c r="Q9" s="1438" t="s">
        <v>321</v>
      </c>
      <c r="R9" s="1439"/>
      <c r="S9" s="1438" t="s">
        <v>322</v>
      </c>
      <c r="T9" s="1439"/>
    </row>
    <row r="10" spans="1:20" s="322" customFormat="1" ht="25.5" customHeight="1">
      <c r="A10" s="1438"/>
      <c r="B10" s="1439"/>
      <c r="C10" s="1348"/>
      <c r="D10" s="1348"/>
      <c r="E10" s="1348"/>
      <c r="F10" s="1348"/>
      <c r="G10" s="224" t="s">
        <v>320</v>
      </c>
      <c r="H10" s="224" t="s">
        <v>316</v>
      </c>
      <c r="I10" s="228" t="s">
        <v>320</v>
      </c>
      <c r="J10" s="224" t="s">
        <v>316</v>
      </c>
      <c r="K10" s="228" t="s">
        <v>320</v>
      </c>
      <c r="L10" s="224" t="s">
        <v>316</v>
      </c>
      <c r="M10" s="1348"/>
      <c r="N10" s="1348"/>
      <c r="O10" s="224" t="s">
        <v>320</v>
      </c>
      <c r="P10" s="224" t="s">
        <v>316</v>
      </c>
      <c r="Q10" s="228" t="s">
        <v>320</v>
      </c>
      <c r="R10" s="224" t="s">
        <v>316</v>
      </c>
      <c r="S10" s="228" t="s">
        <v>320</v>
      </c>
      <c r="T10" s="224" t="s">
        <v>316</v>
      </c>
    </row>
    <row r="11" spans="1:32" s="231" customFormat="1" ht="12.75">
      <c r="A11" s="1435" t="s">
        <v>6</v>
      </c>
      <c r="B11" s="1436"/>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374</v>
      </c>
    </row>
    <row r="12" spans="1:20" s="231" customFormat="1" ht="20.25" customHeight="1">
      <c r="A12" s="1451" t="s">
        <v>430</v>
      </c>
      <c r="B12" s="1452"/>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449" t="s">
        <v>406</v>
      </c>
      <c r="B13" s="1450"/>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442" t="s">
        <v>37</v>
      </c>
      <c r="B14" s="1443"/>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375</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377</v>
      </c>
    </row>
    <row r="18" spans="1:20" s="187" customFormat="1" ht="15.75" customHeight="1">
      <c r="A18" s="209">
        <v>2</v>
      </c>
      <c r="B18" s="77" t="s">
        <v>407</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378</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379</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380</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382</v>
      </c>
      <c r="AK21" s="187" t="s">
        <v>383</v>
      </c>
      <c r="AL21" s="187" t="s">
        <v>384</v>
      </c>
      <c r="AM21" s="208" t="s">
        <v>385</v>
      </c>
    </row>
    <row r="22" spans="1:39" s="187" customFormat="1" ht="15.75" customHeight="1">
      <c r="A22" s="209">
        <v>6</v>
      </c>
      <c r="B22" s="77" t="s">
        <v>381</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387</v>
      </c>
    </row>
    <row r="23" spans="1:20" s="187" customFormat="1" ht="15.75" customHeight="1">
      <c r="A23" s="209">
        <v>7</v>
      </c>
      <c r="B23" s="77" t="s">
        <v>386</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388</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382</v>
      </c>
    </row>
    <row r="25" spans="1:36" s="187" customFormat="1" ht="15.75" customHeight="1">
      <c r="A25" s="209">
        <v>9</v>
      </c>
      <c r="B25" s="77" t="s">
        <v>389</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391</v>
      </c>
    </row>
    <row r="26" spans="1:44" s="187" customFormat="1" ht="15.75" customHeight="1">
      <c r="A26" s="209">
        <v>10</v>
      </c>
      <c r="B26" s="77" t="s">
        <v>390</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392</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394</v>
      </c>
      <c r="AI28" s="199">
        <f>82/88</f>
        <v>0.9318181818181818</v>
      </c>
    </row>
    <row r="29" spans="1:20" ht="15.75" customHeight="1">
      <c r="A29" s="189"/>
      <c r="B29" s="1345" t="s">
        <v>393</v>
      </c>
      <c r="C29" s="1345"/>
      <c r="D29" s="1345"/>
      <c r="E29" s="1345"/>
      <c r="F29" s="1345"/>
      <c r="G29" s="1345"/>
      <c r="H29" s="190"/>
      <c r="I29" s="190"/>
      <c r="J29" s="191"/>
      <c r="K29" s="190"/>
      <c r="L29" s="1350" t="s">
        <v>393</v>
      </c>
      <c r="M29" s="1350"/>
      <c r="N29" s="1350"/>
      <c r="O29" s="1350"/>
      <c r="P29" s="1350"/>
      <c r="Q29" s="1350"/>
      <c r="R29" s="1350"/>
      <c r="S29" s="1350"/>
      <c r="T29" s="1350"/>
    </row>
    <row r="30" spans="1:20" ht="15" customHeight="1">
      <c r="A30" s="189"/>
      <c r="B30" s="1335" t="s">
        <v>43</v>
      </c>
      <c r="C30" s="1335"/>
      <c r="D30" s="1335"/>
      <c r="E30" s="1335"/>
      <c r="F30" s="1335"/>
      <c r="G30" s="1335"/>
      <c r="H30" s="192"/>
      <c r="I30" s="192"/>
      <c r="J30" s="192"/>
      <c r="K30" s="192"/>
      <c r="L30" s="1338" t="s">
        <v>349</v>
      </c>
      <c r="M30" s="1338"/>
      <c r="N30" s="1338"/>
      <c r="O30" s="1338"/>
      <c r="P30" s="1338"/>
      <c r="Q30" s="1338"/>
      <c r="R30" s="1338"/>
      <c r="S30" s="1338"/>
      <c r="T30" s="1338"/>
    </row>
    <row r="31" spans="1:20" s="329" customFormat="1" ht="18.75">
      <c r="A31" s="327"/>
      <c r="B31" s="1332"/>
      <c r="C31" s="1332"/>
      <c r="D31" s="1332"/>
      <c r="E31" s="1332"/>
      <c r="F31" s="1332"/>
      <c r="G31" s="328"/>
      <c r="H31" s="328"/>
      <c r="I31" s="328"/>
      <c r="J31" s="328"/>
      <c r="K31" s="328"/>
      <c r="L31" s="1333"/>
      <c r="M31" s="1333"/>
      <c r="N31" s="1333"/>
      <c r="O31" s="1333"/>
      <c r="P31" s="1333"/>
      <c r="Q31" s="1333"/>
      <c r="R31" s="1333"/>
      <c r="S31" s="1333"/>
      <c r="T31" s="1333"/>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444" t="s">
        <v>397</v>
      </c>
      <c r="C33" s="1444"/>
      <c r="D33" s="1444"/>
      <c r="E33" s="1444"/>
      <c r="F33" s="1444"/>
      <c r="G33" s="330"/>
      <c r="H33" s="330"/>
      <c r="I33" s="330"/>
      <c r="J33" s="330"/>
      <c r="K33" s="330"/>
      <c r="L33" s="330"/>
      <c r="M33" s="330"/>
      <c r="N33" s="330"/>
      <c r="O33" s="1444" t="s">
        <v>397</v>
      </c>
      <c r="P33" s="1444"/>
      <c r="Q33" s="1444"/>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201" t="s">
        <v>350</v>
      </c>
      <c r="C39" s="1201"/>
      <c r="D39" s="1201"/>
      <c r="E39" s="1201"/>
      <c r="F39" s="1201"/>
      <c r="G39" s="1201"/>
      <c r="H39" s="191"/>
      <c r="I39" s="191"/>
      <c r="J39" s="191"/>
      <c r="K39" s="191"/>
      <c r="L39" s="1202" t="s">
        <v>351</v>
      </c>
      <c r="M39" s="1202"/>
      <c r="N39" s="1202"/>
      <c r="O39" s="1202"/>
      <c r="P39" s="1202"/>
      <c r="Q39" s="1202"/>
      <c r="R39" s="1202"/>
      <c r="S39" s="1202"/>
      <c r="T39" s="1202"/>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F1:O4"/>
    <mergeCell ref="O33:Q33"/>
    <mergeCell ref="M7:T7"/>
    <mergeCell ref="A6:B10"/>
    <mergeCell ref="G9:H9"/>
    <mergeCell ref="D7:D10"/>
    <mergeCell ref="C6:D6"/>
    <mergeCell ref="A13:B13"/>
    <mergeCell ref="A12:B12"/>
    <mergeCell ref="G8:L8"/>
    <mergeCell ref="B39:G39"/>
    <mergeCell ref="L29:T29"/>
    <mergeCell ref="L30:T30"/>
    <mergeCell ref="L39:T39"/>
    <mergeCell ref="B30:G30"/>
    <mergeCell ref="B29:G29"/>
    <mergeCell ref="B33:F33"/>
    <mergeCell ref="N9:N10"/>
    <mergeCell ref="O9:P9"/>
    <mergeCell ref="B31:F31"/>
    <mergeCell ref="L31:T31"/>
    <mergeCell ref="K9:L9"/>
    <mergeCell ref="E9:E10"/>
    <mergeCell ref="Q9:R9"/>
    <mergeCell ref="C7:C10"/>
    <mergeCell ref="I9:J9"/>
    <mergeCell ref="A14:B14"/>
    <mergeCell ref="F5:O5"/>
    <mergeCell ref="A11:B11"/>
    <mergeCell ref="O8:T8"/>
    <mergeCell ref="E8:F8"/>
    <mergeCell ref="S9:T9"/>
    <mergeCell ref="F9:F10"/>
    <mergeCell ref="E7:L7"/>
    <mergeCell ref="E6:T6"/>
    <mergeCell ref="M8:N8"/>
    <mergeCell ref="M9:M10"/>
    <mergeCell ref="A1:D1"/>
    <mergeCell ref="A4:D4"/>
    <mergeCell ref="A2:D2"/>
    <mergeCell ref="A3:D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pc</cp:lastModifiedBy>
  <cp:lastPrinted>2016-10-14T07:59:17Z</cp:lastPrinted>
  <dcterms:created xsi:type="dcterms:W3CDTF">2004-03-07T02:36:29Z</dcterms:created>
  <dcterms:modified xsi:type="dcterms:W3CDTF">2016-10-14T07:59:18Z</dcterms:modified>
  <cp:category/>
  <cp:version/>
  <cp:contentType/>
  <cp:contentStatus/>
</cp:coreProperties>
</file>